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травень" sheetId="1" r:id="rId1"/>
    <sheet name="квітень" sheetId="2" r:id="rId2"/>
    <sheet name="березень" sheetId="3" r:id="rId3"/>
    <sheet name="лютий" sheetId="4" r:id="rId4"/>
    <sheet name="січень-2" sheetId="5" r:id="rId5"/>
    <sheet name="січень 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<sst xmlns="http://schemas.openxmlformats.org/spreadsheetml/2006/main" count="985" uniqueCount="274">
  <si>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</si>
  <si>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</si>
  <si>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</si>
  <si>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</si>
  <si>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</si>
  <si>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</si>
  <si>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</si>
  <si>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</si>
  <si>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</si>
  <si>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</si>
  <si>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</si>
  <si>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</si>
  <si>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</si>
  <si>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</si>
  <si>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</si>
  <si>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</si>
  <si>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</si>
  <si>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</si>
  <si>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</si>
  <si>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</si>
  <si>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</si>
  <si>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</si>
  <si>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</si>
  <si>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</si>
  <si>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</si>
  <si>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</si>
  <si>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</si>
  <si>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</si>
  <si>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</si>
  <si>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</si>
  <si>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</si>
  <si>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</si>
  <si>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</si>
  <si>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</si>
  <si>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</si>
  <si>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</si>
  <si>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</si>
  <si>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</si>
  <si>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</si>
  <si>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</si>
  <si>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</si>
  <si>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</si>
  <si>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</si>
  <si>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</si>
  <si>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</si>
  <si>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</si>
  <si>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</si>
  <si>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</si>
  <si>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</si>
  <si>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</si>
  <si>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</si>
  <si>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</si>
  <si>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</si>
  <si>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</si>
  <si>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</si>
  <si>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</si>
  <si>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</si>
  <si>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</si>
  <si>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</si>
  <si>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</si>
  <si>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</si>
  <si>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</si>
  <si>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</si>
  <si>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</si>
  <si>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</si>
  <si>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</si>
  <si>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</si>
  <si>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</si>
  <si>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</si>
  <si>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</si>
  <si>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</si>
  <si>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</si>
  <si>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</si>
  <si>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</si>
  <si>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</si>
  <si>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</si>
  <si>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</si>
  <si>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</si>
  <si>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</si>
  <si>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</si>
  <si>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</si>
  <si>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</si>
  <si>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</si>
  <si>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</si>
  <si>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</si>
  <si>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</si>
  <si>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</si>
  <si>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</si>
  <si>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</si>
  <si>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</si>
  <si>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</si>
  <si>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</si>
  <si>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</si>
  <si>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</si>
  <si>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</si>
  <si>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</si>
  <si>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</si>
  <si>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</si>
  <si>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</si>
  <si>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</si>
  <si>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</si>
  <si>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</si>
  <si>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</si>
  <si>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</si>
  <si>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</si>
  <si>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</si>
  <si>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</si>
  <si>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</si>
  <si>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</si>
  <si>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</si>
  <si>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</si>
  <si>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</si>
  <si>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</si>
  <si>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</si>
  <si>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</si>
  <si>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</si>
  <si>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</si>
  <si>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</si>
  <si>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</si>
  <si>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</si>
  <si>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</si>
  <si>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</si>
  <si>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</si>
  <si>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</si>
  <si>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</si>
  <si>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</si>
  <si>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</si>
  <si>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</si>
  <si>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</si>
  <si>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</si>
  <si>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</si>
  <si>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</si>
  <si>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</si>
  <si>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</si>
  <si>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</si>
  <si>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</si>
  <si>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</si>
  <si>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</si>
  <si>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</si>
  <si>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</si>
  <si>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</si>
  <si>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</si>
  <si>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</si>
  <si>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</si>
  <si>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</si>
  <si>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</si>
  <si>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</si>
  <si>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</si>
  <si>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</si>
  <si>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</si>
  <si>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</si>
  <si>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</si>
  <si>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</si>
  <si>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</si>
  <si>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</si>
  <si>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</si>
  <si>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</si>
  <si>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</si>
  <si>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</si>
  <si>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</si>
  <si>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</si>
  <si>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</si>
  <si>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</si>
  <si>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</si>
  <si>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</si>
  <si>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</si>
  <si>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</si>
  <si>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</si>
  <si>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</si>
  <si>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</si>
  <si>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</si>
  <si>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</si>
  <si>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</si>
  <si>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</si>
  <si>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</si>
  <si>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</si>
  <si>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</si>
  <si>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</si>
  <si>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</si>
  <si>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</si>
  <si>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</si>
  <si>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</si>
  <si>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</si>
  <si>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</si>
  <si>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</si>
  <si>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</si>
  <si>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</si>
  <si>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</si>
  <si>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</si>
  <si>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</si>
  <si>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</si>
  <si>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</si>
  <si>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</si>
  <si>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</si>
  <si>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30.01.15 </t>
    </r>
    <r>
      <rPr>
        <b/>
        <sz val="10"/>
        <rFont val="Times New Roman"/>
        <family val="1"/>
      </rPr>
      <t>включно</t>
    </r>
  </si>
  <si>
    <t>реверс з початку року</t>
  </si>
  <si>
    <t>до Д/б</t>
  </si>
  <si>
    <t>до ЗФ М/б</t>
  </si>
  <si>
    <t>до ЗФ МБ</t>
  </si>
  <si>
    <t>План  на січень-лютий</t>
  </si>
  <si>
    <t>Необхідно ще отримати до плану на січень-лютий</t>
  </si>
  <si>
    <t>% виконання до плану на січень-лютий</t>
  </si>
  <si>
    <t>Виконано у лютому</t>
  </si>
  <si>
    <t>В умовах 2014 р.</t>
  </si>
  <si>
    <t>Акцизний податок з реалізації суб`єктами господарювання роздрібної торгівлі підакцизних товарів</t>
  </si>
  <si>
    <t>В умовах 2015 р.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</si>
  <si>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</si>
  <si>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</si>
  <si>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>Податок на майно</t>
  </si>
  <si>
    <t xml:space="preserve">податок на нерухоме майно </t>
  </si>
  <si>
    <t>транспортний податок</t>
  </si>
  <si>
    <t>плата за землю</t>
  </si>
  <si>
    <t>Туристичний збір</t>
  </si>
  <si>
    <t>Єдиний податок</t>
  </si>
  <si>
    <t>Плата за розміщення  тимчасово вільних коштів місцевих бюджетів</t>
  </si>
  <si>
    <t>Збір за провадження деяких видів підприємницької діяльності, що справлявся до 1 січня 2015 року</t>
  </si>
  <si>
    <t>Затверджений план на  2015 рік</t>
  </si>
  <si>
    <t>Відхилення (+,-) до  плану на 2015рік</t>
  </si>
  <si>
    <t>% виконання  плану на 2015 рік</t>
  </si>
  <si>
    <t>План  на січень-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</si>
  <si>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</si>
  <si>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</si>
  <si>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Плата за надання інших адміністративних послуг</t>
  </si>
  <si>
    <t>Податок та збір на доходи фізичних осіб</t>
  </si>
  <si>
    <r>
      <t>Динаміка  фактичних надходжень січень-лютий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</si>
  <si>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</si>
  <si>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27.02.15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</si>
  <si>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01.03.2015</t>
    </r>
    <r>
      <rPr>
        <b/>
        <sz val="16"/>
        <rFont val="Times New Roman"/>
        <family val="1"/>
      </rPr>
      <t>р.</t>
    </r>
  </si>
  <si>
    <t>План  на січень-березень</t>
  </si>
  <si>
    <t>Необхідно ще отримати до плану на січень-березень</t>
  </si>
  <si>
    <t>% виконання до плану на січень-березень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</si>
  <si>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</si>
  <si>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t>Виконано у березні</t>
  </si>
  <si>
    <r>
      <t>Динаміка  фактичних надходжень січень-березень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</si>
  <si>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субвенція -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</si>
  <si>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</si>
  <si>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31.03.15 </t>
    </r>
    <r>
      <rPr>
        <b/>
        <sz val="10"/>
        <rFont val="Times New Roman"/>
        <family val="1"/>
      </rPr>
      <t>включно</t>
    </r>
  </si>
  <si>
    <t>План  на січень-квітень</t>
  </si>
  <si>
    <t>Необхідно ще отримати до плану на січень-квітень</t>
  </si>
  <si>
    <t>% виконання до плану на січень-квітень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</si>
  <si>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</si>
  <si>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</si>
  <si>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>Динаміка  фактичних надходжень січень-квітень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</si>
  <si>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</si>
  <si>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</si>
  <si>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</si>
  <si>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</si>
  <si>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</si>
  <si>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Податок з власників наземних транспортних засобів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</si>
  <si>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</si>
  <si>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</si>
  <si>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</si>
  <si>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</si>
  <si>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</si>
  <si>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</si>
  <si>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</si>
  <si>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</si>
  <si>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</si>
  <si>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t xml:space="preserve">Цільві фонди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</si>
  <si>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</si>
  <si>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30.04.15 </t>
    </r>
    <r>
      <rPr>
        <b/>
        <sz val="10"/>
        <rFont val="Times New Roman"/>
        <family val="1"/>
      </rPr>
      <t>включно</t>
    </r>
  </si>
  <si>
    <t>Уточнений план на  2015 рік</t>
  </si>
  <si>
    <t>План  на січень-травень</t>
  </si>
  <si>
    <t>Необхідно ще отримати до плану на січень-травень</t>
  </si>
  <si>
    <t>% виконання до плану на січень-травень</t>
  </si>
  <si>
    <r>
      <t>Динаміка  фактичних надходжень січень-травень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</si>
  <si>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</si>
  <si>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</si>
  <si>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</si>
  <si>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</si>
  <si>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</si>
  <si>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</si>
  <si>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12.05.2015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</si>
  <si>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08.05.15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</si>
</sst>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40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2" fontId="19" fillId="0" borderId="0" xfId="20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74" fontId="27" fillId="0" borderId="1" xfId="20" applyNumberFormat="1" applyFont="1" applyBorder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174" fontId="18" fillId="5" borderId="1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0" fontId="11" fillId="0" borderId="7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8" fillId="4" borderId="1" xfId="0" applyNumberFormat="1" applyFont="1" applyFill="1" applyBorder="1" applyAlignment="1" applyProtection="1">
      <alignment horizontal="right"/>
      <protection/>
    </xf>
    <xf numFmtId="0" fontId="10" fillId="0" borderId="1" xfId="20" applyFont="1" applyBorder="1" applyAlignment="1" applyProtection="1">
      <alignment vertical="center"/>
      <protection/>
    </xf>
    <xf numFmtId="183" fontId="7" fillId="3" borderId="5" xfId="0" applyNumberFormat="1" applyFont="1" applyFill="1" applyBorder="1" applyAlignment="1" applyProtection="1">
      <alignment/>
      <protection/>
    </xf>
    <xf numFmtId="174" fontId="18" fillId="0" borderId="0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174" fontId="27" fillId="0" borderId="0" xfId="20" applyNumberFormat="1" applyFont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1" xfId="20" applyFont="1" applyBorder="1" applyAlignment="1" applyProtection="1">
      <alignment horizontal="left" vertical="center" wrapText="1"/>
      <protection/>
    </xf>
    <xf numFmtId="4" fontId="8" fillId="0" borderId="0" xfId="20" applyNumberFormat="1" applyFont="1" applyBorder="1" applyAlignment="1" applyProtection="1">
      <alignment horizontal="right"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6" borderId="1" xfId="0" applyNumberFormat="1" applyFont="1" applyFill="1" applyBorder="1" applyAlignment="1" applyProtection="1">
      <alignment/>
      <protection/>
    </xf>
    <xf numFmtId="174" fontId="22" fillId="6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Fill="1" applyBorder="1" applyAlignment="1" applyProtection="1">
      <alignment horizontal="center"/>
      <protection/>
    </xf>
    <xf numFmtId="0" fontId="22" fillId="0" borderId="1" xfId="20" applyFont="1" applyBorder="1" applyAlignment="1" applyProtection="1">
      <alignment vertical="center" wrapText="1"/>
      <protection/>
    </xf>
    <xf numFmtId="0" fontId="7" fillId="0" borderId="1" xfId="20" applyFont="1" applyBorder="1" applyAlignment="1" applyProtection="1">
      <alignment vertical="center" wrapText="1"/>
      <protection/>
    </xf>
    <xf numFmtId="4" fontId="3" fillId="0" borderId="0" xfId="20" applyNumberFormat="1" applyFont="1" applyFill="1" applyAlignment="1" applyProtection="1">
      <alignment horizontal="center"/>
      <protection/>
    </xf>
    <xf numFmtId="4" fontId="9" fillId="4" borderId="1" xfId="20" applyNumberFormat="1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22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19" fillId="4" borderId="1" xfId="0" applyNumberFormat="1" applyFont="1" applyFill="1" applyBorder="1" applyAlignment="1" applyProtection="1">
      <alignment horizontal="right"/>
      <protection/>
    </xf>
    <xf numFmtId="4" fontId="13" fillId="4" borderId="1" xfId="0" applyNumberFormat="1" applyFont="1" applyFill="1" applyBorder="1" applyAlignment="1" applyProtection="1">
      <alignment horizontal="right" wrapText="1"/>
      <protection/>
    </xf>
    <xf numFmtId="4" fontId="13" fillId="4" borderId="1" xfId="0" applyNumberFormat="1" applyFont="1" applyFill="1" applyBorder="1" applyAlignment="1" applyProtection="1">
      <alignment horizontal="right" wrapText="1"/>
      <protection locked="0"/>
    </xf>
    <xf numFmtId="4" fontId="7" fillId="4" borderId="1" xfId="0" applyNumberFormat="1" applyFont="1" applyFill="1" applyBorder="1" applyAlignment="1" applyProtection="1">
      <alignment horizontal="right"/>
      <protection/>
    </xf>
    <xf numFmtId="4" fontId="27" fillId="4" borderId="1" xfId="0" applyNumberFormat="1" applyFont="1" applyFill="1" applyBorder="1" applyAlignment="1" applyProtection="1">
      <alignment horizontal="right"/>
      <protection/>
    </xf>
    <xf numFmtId="4" fontId="8" fillId="4" borderId="1" xfId="20" applyNumberFormat="1" applyFont="1" applyFill="1" applyBorder="1" applyProtection="1">
      <alignment/>
      <protection/>
    </xf>
    <xf numFmtId="4" fontId="7" fillId="4" borderId="1" xfId="20" applyNumberFormat="1" applyFont="1" applyFill="1" applyBorder="1" applyProtection="1">
      <alignment/>
      <protection/>
    </xf>
    <xf numFmtId="4" fontId="7" fillId="3" borderId="1" xfId="20" applyNumberFormat="1" applyFont="1" applyFill="1" applyBorder="1" applyProtection="1">
      <alignment/>
      <protection/>
    </xf>
    <xf numFmtId="4" fontId="8" fillId="0" borderId="0" xfId="20" applyNumberFormat="1" applyFont="1" applyFill="1" applyProtection="1">
      <alignment/>
      <protection/>
    </xf>
    <xf numFmtId="4" fontId="8" fillId="0" borderId="5" xfId="20" applyNumberFormat="1" applyFont="1" applyFill="1" applyBorder="1" applyAlignment="1" applyProtection="1">
      <alignment horizontal="center"/>
      <protection/>
    </xf>
    <xf numFmtId="0" fontId="29" fillId="0" borderId="1" xfId="20" applyFont="1" applyFill="1" applyBorder="1" applyAlignment="1" applyProtection="1">
      <alignment/>
      <protection/>
    </xf>
    <xf numFmtId="0" fontId="39" fillId="0" borderId="1" xfId="20" applyFont="1" applyBorder="1" applyAlignment="1" applyProtection="1">
      <alignment vertical="center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8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8" xfId="22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174" fontId="29" fillId="4" borderId="8" xfId="0" applyNumberFormat="1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8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vertical="center" wrapText="1"/>
      <protection/>
    </xf>
    <xf numFmtId="174" fontId="4" fillId="0" borderId="8" xfId="22" applyNumberFormat="1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vertical="center" wrapText="1"/>
      <protection/>
    </xf>
    <xf numFmtId="0" fontId="4" fillId="0" borderId="8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Border="1" applyAlignment="1" applyProtection="1">
      <alignment horizontal="center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right"/>
      <protection/>
    </xf>
    <xf numFmtId="0" fontId="10" fillId="0" borderId="0" xfId="20" applyFont="1" applyBorder="1" applyAlignment="1" applyProtection="1">
      <alignment horizontal="center" wrapText="1"/>
      <protection/>
    </xf>
    <xf numFmtId="0" fontId="8" fillId="0" borderId="5" xfId="20" applyFont="1" applyBorder="1" applyAlignment="1" applyProtection="1">
      <alignment horizontal="right" wrapText="1"/>
      <protection/>
    </xf>
    <xf numFmtId="0" fontId="8" fillId="0" borderId="6" xfId="20" applyFont="1" applyBorder="1" applyAlignment="1" applyProtection="1">
      <alignment horizontal="righ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4" fontId="29" fillId="4" borderId="4" xfId="0" applyNumberFormat="1" applyFont="1" applyFill="1" applyBorder="1" applyAlignment="1" applyProtection="1">
      <alignment horizontal="center" vertical="center" wrapText="1"/>
      <protection/>
    </xf>
    <xf numFmtId="4" fontId="29" fillId="4" borderId="8" xfId="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8" xfId="22" applyNumberFormat="1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8" xfId="20" applyFont="1" applyFill="1" applyBorder="1" applyAlignment="1" applyProtection="1">
      <alignment horizontal="center" wrapText="1"/>
      <protection/>
    </xf>
    <xf numFmtId="0" fontId="8" fillId="0" borderId="1" xfId="20" applyFont="1" applyBorder="1" applyAlignment="1" applyProtection="1">
      <alignment horizontal="center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8" xfId="22" applyFont="1" applyFill="1" applyBorder="1" applyAlignment="1" applyProtection="1">
      <alignment horizontal="center" wrapText="1"/>
      <protection/>
    </xf>
    <xf numFmtId="0" fontId="10" fillId="0" borderId="1" xfId="20" applyFont="1" applyBorder="1" applyAlignment="1" applyProtection="1">
      <alignment horizont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залишки  (2)"/>
      <sheetName val="надх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</sheetNames>
    <sheetDataSet>
      <sheetData sheetId="19">
        <row r="27">
          <cell r="C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92"/>
  <sheetViews>
    <sheetView tabSelected="1" zoomScale="75" zoomScaleNormal="75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83" sqref="G83:H8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05" t="s">
        <v>272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117"/>
      <c r="R1" s="118"/>
    </row>
    <row r="2" spans="2:18" s="1" customFormat="1" ht="15.75" customHeight="1">
      <c r="B2" s="206"/>
      <c r="C2" s="206"/>
      <c r="D2" s="206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07"/>
      <c r="B3" s="209"/>
      <c r="C3" s="210" t="s">
        <v>0</v>
      </c>
      <c r="D3" s="211" t="s">
        <v>261</v>
      </c>
      <c r="E3" s="40"/>
      <c r="F3" s="212" t="s">
        <v>107</v>
      </c>
      <c r="G3" s="213"/>
      <c r="H3" s="213"/>
      <c r="I3" s="213"/>
      <c r="J3" s="214"/>
      <c r="K3" s="114"/>
      <c r="L3" s="114"/>
      <c r="M3" s="215" t="s">
        <v>266</v>
      </c>
      <c r="N3" s="218" t="s">
        <v>267</v>
      </c>
      <c r="O3" s="218"/>
      <c r="P3" s="218"/>
      <c r="Q3" s="218"/>
      <c r="R3" s="218"/>
    </row>
    <row r="4" spans="1:18" ht="22.5" customHeight="1">
      <c r="A4" s="207"/>
      <c r="B4" s="209"/>
      <c r="C4" s="210"/>
      <c r="D4" s="211"/>
      <c r="E4" s="219" t="s">
        <v>262</v>
      </c>
      <c r="F4" s="223" t="s">
        <v>116</v>
      </c>
      <c r="G4" s="225" t="s">
        <v>263</v>
      </c>
      <c r="H4" s="227" t="s">
        <v>264</v>
      </c>
      <c r="I4" s="229" t="s">
        <v>217</v>
      </c>
      <c r="J4" s="216" t="s">
        <v>218</v>
      </c>
      <c r="K4" s="116" t="s">
        <v>172</v>
      </c>
      <c r="L4" s="121" t="s">
        <v>171</v>
      </c>
      <c r="M4" s="216"/>
      <c r="N4" s="235" t="s">
        <v>273</v>
      </c>
      <c r="O4" s="229" t="s">
        <v>136</v>
      </c>
      <c r="P4" s="237" t="s">
        <v>135</v>
      </c>
      <c r="Q4" s="122" t="s">
        <v>172</v>
      </c>
      <c r="R4" s="123" t="s">
        <v>171</v>
      </c>
    </row>
    <row r="5" spans="1:19" ht="92.25" customHeight="1">
      <c r="A5" s="208"/>
      <c r="B5" s="209"/>
      <c r="C5" s="210"/>
      <c r="D5" s="211"/>
      <c r="E5" s="220"/>
      <c r="F5" s="224"/>
      <c r="G5" s="226"/>
      <c r="H5" s="228"/>
      <c r="I5" s="230"/>
      <c r="J5" s="217"/>
      <c r="K5" s="221" t="s">
        <v>265</v>
      </c>
      <c r="L5" s="222"/>
      <c r="M5" s="217"/>
      <c r="N5" s="236"/>
      <c r="O5" s="230"/>
      <c r="P5" s="237"/>
      <c r="Q5" s="221" t="s">
        <v>176</v>
      </c>
      <c r="R5" s="222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223525.69999999998</v>
      </c>
      <c r="F8" s="18">
        <f>F9+F15+F18+F19+F20+F32+F17</f>
        <v>209967.57</v>
      </c>
      <c r="G8" s="18">
        <f aca="true" t="shared" si="0" ref="G8:G32">F8-E8</f>
        <v>-13558.129999999976</v>
      </c>
      <c r="H8" s="45">
        <f>F8/E8*100</f>
        <v>93.93442006892273</v>
      </c>
      <c r="I8" s="31">
        <f aca="true" t="shared" si="1" ref="I8:I32">F8-D8</f>
        <v>-307461.43</v>
      </c>
      <c r="J8" s="31">
        <f aca="true" t="shared" si="2" ref="J8:J14">F8/D8*100</f>
        <v>40.579010840134586</v>
      </c>
      <c r="K8" s="18">
        <f>K9+K15+K18+K19+K20+K32</f>
        <v>14318.650000000012</v>
      </c>
      <c r="L8" s="18"/>
      <c r="M8" s="18">
        <f>M9+M15+M18+M19+M20+M32+M17</f>
        <v>46130.770000000004</v>
      </c>
      <c r="N8" s="18">
        <f>N9+N15+N18+N19+N20+N32+N17</f>
        <v>11430.420000000015</v>
      </c>
      <c r="O8" s="31">
        <f aca="true" t="shared" si="3" ref="O8:O32">N8-M8</f>
        <v>-34700.34999999999</v>
      </c>
      <c r="P8" s="31">
        <f>F8/M8*100</f>
        <v>455.1573060670784</v>
      </c>
      <c r="Q8" s="31">
        <f>N8-33748.16</f>
        <v>-22317.73999999999</v>
      </c>
      <c r="R8" s="125">
        <f>N8/33748.16</f>
        <v>0.33869757640120274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127812.65</v>
      </c>
      <c r="F9" s="143">
        <v>118326.46</v>
      </c>
      <c r="G9" s="43">
        <f t="shared" si="0"/>
        <v>-9486.189999999988</v>
      </c>
      <c r="H9" s="35">
        <f aca="true" t="shared" si="4" ref="H9:H32">F9/E9*100</f>
        <v>92.57805076414581</v>
      </c>
      <c r="I9" s="50">
        <f t="shared" si="1"/>
        <v>-194363.53999999998</v>
      </c>
      <c r="J9" s="50">
        <f t="shared" si="2"/>
        <v>37.84145959256772</v>
      </c>
      <c r="K9" s="132">
        <f>F9-148760.15/75*60</f>
        <v>-681.6599999999889</v>
      </c>
      <c r="L9" s="132">
        <f>F9/(148760.15/75*60)*100</f>
        <v>99.42721555470334</v>
      </c>
      <c r="M9" s="35">
        <f>E9-квітень!E10</f>
        <v>26164.67</v>
      </c>
      <c r="N9" s="35">
        <f>F9-квітень!F10</f>
        <v>7560.810000000012</v>
      </c>
      <c r="O9" s="47">
        <f t="shared" si="3"/>
        <v>-18603.859999999986</v>
      </c>
      <c r="P9" s="50">
        <f aca="true" t="shared" si="5" ref="P9:P32">N9/M9*100</f>
        <v>28.897020294924463</v>
      </c>
      <c r="Q9" s="132">
        <f>N9-26568.11</f>
        <v>-19007.29999999999</v>
      </c>
      <c r="R9" s="133">
        <f>N9/26568.11</f>
        <v>0.2845821550723786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112622.25</v>
      </c>
      <c r="F10" s="144">
        <v>103617.31</v>
      </c>
      <c r="G10" s="135">
        <f t="shared" si="0"/>
        <v>-9004.940000000002</v>
      </c>
      <c r="H10" s="137">
        <f t="shared" si="4"/>
        <v>92.00429755221548</v>
      </c>
      <c r="I10" s="136">
        <f t="shared" si="1"/>
        <v>-136792.69</v>
      </c>
      <c r="J10" s="136">
        <f t="shared" si="2"/>
        <v>43.10024957364502</v>
      </c>
      <c r="K10" s="138">
        <f>F10-134812.74/75*60</f>
        <v>-4232.881999999998</v>
      </c>
      <c r="L10" s="138">
        <f>F10/(134812.74/75*60)*100</f>
        <v>96.0752207098528</v>
      </c>
      <c r="M10" s="137">
        <f>E10-квітень!E11</f>
        <v>23050.67</v>
      </c>
      <c r="N10" s="137">
        <f>F10-квітень!F11</f>
        <v>5266</v>
      </c>
      <c r="O10" s="138">
        <f t="shared" si="3"/>
        <v>-17784.67</v>
      </c>
      <c r="P10" s="136">
        <f t="shared" si="5"/>
        <v>22.84532293421406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8958</v>
      </c>
      <c r="F11" s="144">
        <v>6309.1</v>
      </c>
      <c r="G11" s="135">
        <f t="shared" si="0"/>
        <v>-2648.8999999999996</v>
      </c>
      <c r="H11" s="137">
        <f t="shared" si="4"/>
        <v>70.4297834338022</v>
      </c>
      <c r="I11" s="136">
        <f t="shared" si="1"/>
        <v>-17390.9</v>
      </c>
      <c r="J11" s="136">
        <f t="shared" si="2"/>
        <v>26.62067510548523</v>
      </c>
      <c r="K11" s="138">
        <f>F11-9052.89/75*60</f>
        <v>-933.2119999999995</v>
      </c>
      <c r="L11" s="138">
        <f>F11/(9052.89/75*60)*100</f>
        <v>87.11444632597988</v>
      </c>
      <c r="M11" s="137">
        <f>E11-квітень!E12</f>
        <v>2010</v>
      </c>
      <c r="N11" s="137">
        <f>F11-квітень!F12</f>
        <v>7.640000000000327</v>
      </c>
      <c r="O11" s="138">
        <f t="shared" si="3"/>
        <v>-2002.3599999999997</v>
      </c>
      <c r="P11" s="136">
        <f t="shared" si="5"/>
        <v>0.38009950248757846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2169</v>
      </c>
      <c r="F12" s="144">
        <v>1812.22</v>
      </c>
      <c r="G12" s="135">
        <f t="shared" si="0"/>
        <v>-356.78</v>
      </c>
      <c r="H12" s="137">
        <f t="shared" si="4"/>
        <v>83.55094513600739</v>
      </c>
      <c r="I12" s="136">
        <f t="shared" si="1"/>
        <v>-3987.7799999999997</v>
      </c>
      <c r="J12" s="136">
        <f t="shared" si="2"/>
        <v>31.245172413793103</v>
      </c>
      <c r="K12" s="138">
        <f>F12-2098.76/75*60</f>
        <v>133.212</v>
      </c>
      <c r="L12" s="138">
        <f>F12/(2098.76/75*60)*100</f>
        <v>107.93397053498256</v>
      </c>
      <c r="M12" s="137">
        <f>E12-квітень!E13</f>
        <v>450</v>
      </c>
      <c r="N12" s="137">
        <f>F12-квітень!F13</f>
        <v>93.98000000000002</v>
      </c>
      <c r="O12" s="138">
        <f t="shared" si="3"/>
        <v>-356.02</v>
      </c>
      <c r="P12" s="136">
        <f t="shared" si="5"/>
        <v>20.884444444444448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2419.4</v>
      </c>
      <c r="F13" s="144">
        <v>1818.09</v>
      </c>
      <c r="G13" s="135">
        <f t="shared" si="0"/>
        <v>-601.3100000000002</v>
      </c>
      <c r="H13" s="137">
        <f t="shared" si="4"/>
        <v>75.14631726874431</v>
      </c>
      <c r="I13" s="136">
        <f t="shared" si="1"/>
        <v>-6581.91</v>
      </c>
      <c r="J13" s="136">
        <f t="shared" si="2"/>
        <v>21.64392857142857</v>
      </c>
      <c r="K13" s="138">
        <f>F13-2795.76/75*60</f>
        <v>-418.51800000000026</v>
      </c>
      <c r="L13" s="138">
        <f>F13/(2795.76/75*60)*100</f>
        <v>81.28782513520473</v>
      </c>
      <c r="M13" s="137">
        <f>E13-квітень!E14</f>
        <v>264</v>
      </c>
      <c r="N13" s="137">
        <f>F13-квітень!F14</f>
        <v>155.31999999999994</v>
      </c>
      <c r="O13" s="138">
        <f t="shared" si="3"/>
        <v>-108.68000000000006</v>
      </c>
      <c r="P13" s="136">
        <f t="shared" si="5"/>
        <v>58.83333333333331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1644</v>
      </c>
      <c r="F14" s="144">
        <v>3372.96</v>
      </c>
      <c r="G14" s="135">
        <f t="shared" si="0"/>
        <v>1728.96</v>
      </c>
      <c r="H14" s="137">
        <f t="shared" si="4"/>
        <v>205.16788321167883</v>
      </c>
      <c r="I14" s="136">
        <f t="shared" si="1"/>
        <v>-1007.04</v>
      </c>
      <c r="J14" s="136">
        <f t="shared" si="2"/>
        <v>77.0082191780822</v>
      </c>
      <c r="K14" s="138">
        <f>F14-0</f>
        <v>3372.96</v>
      </c>
      <c r="L14" s="138"/>
      <c r="M14" s="137">
        <f>E14-квітень!E15</f>
        <v>390</v>
      </c>
      <c r="N14" s="137">
        <f>F14-квітень!F15</f>
        <v>641.0900000000001</v>
      </c>
      <c r="O14" s="138">
        <f t="shared" si="3"/>
        <v>251.09000000000015</v>
      </c>
      <c r="P14" s="136">
        <f t="shared" si="5"/>
        <v>164.38205128205132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171.2</v>
      </c>
      <c r="F15" s="143">
        <v>-889.47</v>
      </c>
      <c r="G15" s="43">
        <f t="shared" si="0"/>
        <v>-1060.67</v>
      </c>
      <c r="H15" s="35"/>
      <c r="I15" s="50">
        <f t="shared" si="1"/>
        <v>-1389.47</v>
      </c>
      <c r="J15" s="50">
        <f>F15/D15*100</f>
        <v>-177.894</v>
      </c>
      <c r="K15" s="53">
        <f>F15-645.38</f>
        <v>-1534.85</v>
      </c>
      <c r="L15" s="53">
        <f>F15/645.38*100</f>
        <v>-137.82112863739192</v>
      </c>
      <c r="M15" s="35">
        <f>E15-квітень!E19</f>
        <v>0</v>
      </c>
      <c r="N15" s="35">
        <f>F15-квітень!F19</f>
        <v>20.779999999999973</v>
      </c>
      <c r="O15" s="47">
        <f t="shared" si="3"/>
        <v>20.779999999999973</v>
      </c>
      <c r="P15" s="50"/>
      <c r="Q15" s="50">
        <f>N15-358.81</f>
        <v>-338.03000000000003</v>
      </c>
      <c r="R15" s="126">
        <f>N15/358.81</f>
        <v>0.057913659039603056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-1372.45</v>
      </c>
      <c r="G16" s="135">
        <f t="shared" si="0"/>
        <v>-1372.45</v>
      </c>
      <c r="H16" s="137"/>
      <c r="I16" s="136">
        <f t="shared" si="1"/>
        <v>-1372.45</v>
      </c>
      <c r="J16" s="136"/>
      <c r="K16" s="138">
        <f>F16-805.66</f>
        <v>-2178.11</v>
      </c>
      <c r="L16" s="138">
        <f>F16/805.66*100</f>
        <v>-170.3510165578532</v>
      </c>
      <c r="M16" s="35">
        <f>E16-квітень!E29</f>
        <v>0</v>
      </c>
      <c r="N16" s="35">
        <f>F16-квітень!F29</f>
        <v>0</v>
      </c>
      <c r="O16" s="138">
        <f t="shared" si="3"/>
        <v>0</v>
      </c>
      <c r="P16" s="50"/>
      <c r="Q16" s="136">
        <f>N16-358.81</f>
        <v>-358.81</v>
      </c>
      <c r="R16" s="141">
        <f>N16/358.79</f>
        <v>0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E17-квітень!E30</f>
        <v>0</v>
      </c>
      <c r="N17" s="35">
        <f>F17-квітень!F30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E18-квітень!E31</f>
        <v>0</v>
      </c>
      <c r="N18" s="35">
        <f>F18-квітень!F31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15782.75</v>
      </c>
      <c r="F19" s="168">
        <v>16486.09</v>
      </c>
      <c r="G19" s="43">
        <f t="shared" si="0"/>
        <v>703.3400000000001</v>
      </c>
      <c r="H19" s="35">
        <f t="shared" si="4"/>
        <v>104.45638434366636</v>
      </c>
      <c r="I19" s="50">
        <f t="shared" si="1"/>
        <v>-13463.91</v>
      </c>
      <c r="J19" s="178">
        <f>F19/D19*100</f>
        <v>55.0453756260434</v>
      </c>
      <c r="K19" s="179">
        <f>F19-0</f>
        <v>16486.09</v>
      </c>
      <c r="L19" s="180"/>
      <c r="M19" s="35">
        <f>E19-квітень!E34</f>
        <v>3120</v>
      </c>
      <c r="N19" s="35">
        <f>F19-квітень!F34</f>
        <v>128.46999999999935</v>
      </c>
      <c r="O19" s="47">
        <f t="shared" si="3"/>
        <v>-2991.5300000000007</v>
      </c>
      <c r="P19" s="50">
        <f t="shared" si="5"/>
        <v>4.1176282051281845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75751.6</v>
      </c>
      <c r="F20" s="169">
        <f>F21+F25+F27+F26</f>
        <v>74006.97</v>
      </c>
      <c r="G20" s="43">
        <f t="shared" si="0"/>
        <v>-1744.6300000000047</v>
      </c>
      <c r="H20" s="35">
        <f t="shared" si="4"/>
        <v>97.69690673200301</v>
      </c>
      <c r="I20" s="50">
        <f t="shared" si="1"/>
        <v>-92763.03</v>
      </c>
      <c r="J20" s="178">
        <f aca="true" t="shared" si="6" ref="J20:J32">F20/D20*100</f>
        <v>44.37666846555136</v>
      </c>
      <c r="K20" s="178">
        <f>K21+K25+K26+K27</f>
        <v>3307.409999999998</v>
      </c>
      <c r="L20" s="136"/>
      <c r="M20" s="35">
        <f>E20-квітень!E35</f>
        <v>14846.100000000006</v>
      </c>
      <c r="N20" s="35">
        <f>F20-квітень!F35</f>
        <v>3712.8300000000017</v>
      </c>
      <c r="O20" s="47">
        <f t="shared" si="3"/>
        <v>-11133.270000000004</v>
      </c>
      <c r="P20" s="50">
        <f t="shared" si="5"/>
        <v>25.008790187321928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39914.1</v>
      </c>
      <c r="F21" s="169">
        <f>F22+F23+F24</f>
        <v>38171.14</v>
      </c>
      <c r="G21" s="43">
        <f t="shared" si="0"/>
        <v>-1742.9599999999991</v>
      </c>
      <c r="H21" s="35">
        <f t="shared" si="4"/>
        <v>95.63322234498585</v>
      </c>
      <c r="I21" s="50">
        <f t="shared" si="1"/>
        <v>-60028.86</v>
      </c>
      <c r="J21" s="178">
        <f t="shared" si="6"/>
        <v>38.87081466395112</v>
      </c>
      <c r="K21" s="178">
        <f>K22+K23+K24</f>
        <v>5336.880000000002</v>
      </c>
      <c r="L21" s="136"/>
      <c r="M21" s="35">
        <f>E21-квітень!E36</f>
        <v>8061.0999999999985</v>
      </c>
      <c r="N21" s="35">
        <f>F21-квітень!F36</f>
        <v>887.239999999998</v>
      </c>
      <c r="O21" s="47">
        <f t="shared" si="3"/>
        <v>-7173.860000000001</v>
      </c>
      <c r="P21" s="50">
        <f t="shared" si="5"/>
        <v>11.006438327275411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276.1</v>
      </c>
      <c r="F22" s="144">
        <v>4297.1</v>
      </c>
      <c r="G22" s="135">
        <f t="shared" si="0"/>
        <v>4021.0000000000005</v>
      </c>
      <c r="H22" s="137">
        <f t="shared" si="4"/>
        <v>1556.3563926113727</v>
      </c>
      <c r="I22" s="136">
        <f t="shared" si="1"/>
        <v>3297.1000000000004</v>
      </c>
      <c r="J22" s="136">
        <f t="shared" si="6"/>
        <v>429.71000000000004</v>
      </c>
      <c r="K22" s="136">
        <f>F22-129.75</f>
        <v>4167.35</v>
      </c>
      <c r="L22" s="136">
        <f>F22/129.75*100</f>
        <v>3311.8304431599236</v>
      </c>
      <c r="M22" s="137">
        <f>E22-квітень!E37</f>
        <v>5.100000000000023</v>
      </c>
      <c r="N22" s="137">
        <f>F22-квітень!F37</f>
        <v>78.03000000000065</v>
      </c>
      <c r="O22" s="138">
        <f t="shared" si="3"/>
        <v>72.93000000000063</v>
      </c>
      <c r="P22" s="136">
        <f t="shared" si="5"/>
        <v>1530.000000000006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144">
        <v>141.72</v>
      </c>
      <c r="G23" s="135">
        <f t="shared" si="0"/>
        <v>-108.28</v>
      </c>
      <c r="H23" s="137"/>
      <c r="I23" s="136">
        <f t="shared" si="1"/>
        <v>-1358.28</v>
      </c>
      <c r="J23" s="136">
        <f t="shared" si="6"/>
        <v>9.447999999999999</v>
      </c>
      <c r="K23" s="136">
        <f>F23-0</f>
        <v>141.72</v>
      </c>
      <c r="L23" s="136"/>
      <c r="M23" s="137">
        <f>E23-квітень!E38</f>
        <v>0</v>
      </c>
      <c r="N23" s="137">
        <f>F23-квітень!F38</f>
        <v>0</v>
      </c>
      <c r="O23" s="138">
        <f t="shared" si="3"/>
        <v>0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39388</v>
      </c>
      <c r="F24" s="144">
        <v>33732.32</v>
      </c>
      <c r="G24" s="135">
        <f t="shared" si="0"/>
        <v>-5655.68</v>
      </c>
      <c r="H24" s="137">
        <f t="shared" si="4"/>
        <v>85.64110896719814</v>
      </c>
      <c r="I24" s="136">
        <f t="shared" si="1"/>
        <v>-61967.68</v>
      </c>
      <c r="J24" s="136">
        <f t="shared" si="6"/>
        <v>35.24798328108673</v>
      </c>
      <c r="K24" s="139">
        <f>F24-32704.51</f>
        <v>1027.8100000000013</v>
      </c>
      <c r="L24" s="139">
        <f>F24/32704.51*100</f>
        <v>103.1427164021109</v>
      </c>
      <c r="M24" s="137">
        <f>E24-квітень!E39</f>
        <v>8056</v>
      </c>
      <c r="N24" s="137">
        <f>F24-квітень!F39</f>
        <v>809.2099999999991</v>
      </c>
      <c r="O24" s="138">
        <f t="shared" si="3"/>
        <v>-7246.790000000001</v>
      </c>
      <c r="P24" s="136">
        <f t="shared" si="5"/>
        <v>10.044811320754706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17.5</v>
      </c>
      <c r="F25" s="168">
        <v>23.16</v>
      </c>
      <c r="G25" s="43">
        <f t="shared" si="0"/>
        <v>5.66</v>
      </c>
      <c r="H25" s="35">
        <f t="shared" si="4"/>
        <v>132.34285714285713</v>
      </c>
      <c r="I25" s="50">
        <f t="shared" si="1"/>
        <v>-46.84</v>
      </c>
      <c r="J25" s="178">
        <f t="shared" si="6"/>
        <v>33.08571428571428</v>
      </c>
      <c r="K25" s="178">
        <f>F25-26.1</f>
        <v>-2.9400000000000013</v>
      </c>
      <c r="L25" s="178">
        <f>F25/26.1*100</f>
        <v>88.73563218390804</v>
      </c>
      <c r="M25" s="35">
        <f>E25-квітень!E40</f>
        <v>5</v>
      </c>
      <c r="N25" s="35">
        <f>F25-квітень!F40</f>
        <v>0</v>
      </c>
      <c r="O25" s="47">
        <f t="shared" si="3"/>
        <v>-5</v>
      </c>
      <c r="P25" s="50">
        <f t="shared" si="5"/>
        <v>0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-59.1</v>
      </c>
      <c r="G26" s="43">
        <f t="shared" si="0"/>
        <v>-59.1</v>
      </c>
      <c r="H26" s="35"/>
      <c r="I26" s="50">
        <f t="shared" si="1"/>
        <v>-59.1</v>
      </c>
      <c r="J26" s="136"/>
      <c r="K26" s="178">
        <f>F26-2664.98</f>
        <v>-2724.08</v>
      </c>
      <c r="L26" s="178">
        <f>F26/2664.98*100</f>
        <v>-2.217652665310809</v>
      </c>
      <c r="M26" s="35">
        <f>E26-квітень!E41</f>
        <v>0</v>
      </c>
      <c r="N26" s="35">
        <f>F26-квітень!F41</f>
        <v>0.14000000000000057</v>
      </c>
      <c r="O26" s="47">
        <f t="shared" si="3"/>
        <v>0.14000000000000057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35820</v>
      </c>
      <c r="F27" s="168">
        <v>35871.77</v>
      </c>
      <c r="G27" s="43">
        <f t="shared" si="0"/>
        <v>51.7699999999968</v>
      </c>
      <c r="H27" s="35">
        <f t="shared" si="4"/>
        <v>100.14452819653823</v>
      </c>
      <c r="I27" s="50">
        <f t="shared" si="1"/>
        <v>-32628.230000000003</v>
      </c>
      <c r="J27" s="178">
        <f t="shared" si="6"/>
        <v>52.36754744525547</v>
      </c>
      <c r="K27" s="132">
        <f>F27-35174.22</f>
        <v>697.5499999999956</v>
      </c>
      <c r="L27" s="132">
        <f>F27/35174.22*100</f>
        <v>101.98312855267292</v>
      </c>
      <c r="M27" s="35">
        <f>E27-квітень!E42</f>
        <v>6780</v>
      </c>
      <c r="N27" s="35">
        <f>F27-квітень!F42</f>
        <v>2825.449999999997</v>
      </c>
      <c r="O27" s="47">
        <f t="shared" si="3"/>
        <v>-3954.550000000003</v>
      </c>
      <c r="P27" s="50">
        <f t="shared" si="5"/>
        <v>41.673303834808216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-1.22</v>
      </c>
      <c r="G28" s="135">
        <f t="shared" si="0"/>
        <v>-1.22</v>
      </c>
      <c r="H28" s="137"/>
      <c r="I28" s="136">
        <f t="shared" si="1"/>
        <v>-1.22</v>
      </c>
      <c r="J28" s="136"/>
      <c r="K28" s="139">
        <f>F28-0.27</f>
        <v>-1.49</v>
      </c>
      <c r="L28" s="139">
        <f>F28/0.27*100</f>
        <v>-451.8518518518518</v>
      </c>
      <c r="M28" s="137">
        <f>E28-квітень!E43</f>
        <v>0</v>
      </c>
      <c r="N28" s="137">
        <f>F28-квітень!F43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9140</v>
      </c>
      <c r="F29" s="144">
        <v>9034.58</v>
      </c>
      <c r="G29" s="135">
        <f t="shared" si="0"/>
        <v>-105.42000000000007</v>
      </c>
      <c r="H29" s="137">
        <f t="shared" si="4"/>
        <v>98.84660831509848</v>
      </c>
      <c r="I29" s="136">
        <f t="shared" si="1"/>
        <v>-7465.42</v>
      </c>
      <c r="J29" s="136">
        <f t="shared" si="6"/>
        <v>54.7550303030303</v>
      </c>
      <c r="K29" s="139">
        <f>F29-9886.89</f>
        <v>-852.3099999999995</v>
      </c>
      <c r="L29" s="139">
        <f>F29/9886.89*100</f>
        <v>91.37939230637744</v>
      </c>
      <c r="M29" s="137">
        <f>E29-квітень!E44</f>
        <v>2500</v>
      </c>
      <c r="N29" s="137">
        <f>F29-квітень!F44</f>
        <v>852.1700000000001</v>
      </c>
      <c r="O29" s="138">
        <f t="shared" si="3"/>
        <v>-1647.83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26680</v>
      </c>
      <c r="F30" s="144">
        <v>25959.76</v>
      </c>
      <c r="G30" s="135">
        <f t="shared" si="0"/>
        <v>-720.2400000000016</v>
      </c>
      <c r="H30" s="137">
        <f t="shared" si="4"/>
        <v>97.30044977511244</v>
      </c>
      <c r="I30" s="136">
        <f t="shared" si="1"/>
        <v>-26040.24</v>
      </c>
      <c r="J30" s="136">
        <f t="shared" si="6"/>
        <v>49.92261538461538</v>
      </c>
      <c r="K30" s="139">
        <f>F30-25287.05</f>
        <v>672.7099999999991</v>
      </c>
      <c r="L30" s="139">
        <f>F30/25287.05*100</f>
        <v>102.66029449856744</v>
      </c>
      <c r="M30" s="137">
        <f>E30-квітень!E45</f>
        <v>4280</v>
      </c>
      <c r="N30" s="137">
        <f>F30-квітень!F45</f>
        <v>1100.3999999999978</v>
      </c>
      <c r="O30" s="138">
        <f t="shared" si="3"/>
        <v>-3179.600000000002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5.75</v>
      </c>
      <c r="G31" s="135">
        <f t="shared" si="0"/>
        <v>5.75</v>
      </c>
      <c r="H31" s="137"/>
      <c r="I31" s="136">
        <f t="shared" si="1"/>
        <v>5.75</v>
      </c>
      <c r="J31" s="136"/>
      <c r="K31" s="139">
        <f>F31-0</f>
        <v>5.75</v>
      </c>
      <c r="L31" s="139"/>
      <c r="M31" s="137">
        <f>E31-квітень!E46</f>
        <v>0</v>
      </c>
      <c r="N31" s="137">
        <f>F31-квітень!F46</f>
        <v>0</v>
      </c>
      <c r="O31" s="138">
        <f t="shared" si="3"/>
        <v>0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3994.5</v>
      </c>
      <c r="F32" s="168">
        <v>2021.63</v>
      </c>
      <c r="G32" s="43">
        <f t="shared" si="0"/>
        <v>-1972.87</v>
      </c>
      <c r="H32" s="35">
        <f t="shared" si="4"/>
        <v>50.61033921642258</v>
      </c>
      <c r="I32" s="50">
        <f t="shared" si="1"/>
        <v>-5478.37</v>
      </c>
      <c r="J32" s="178">
        <f t="shared" si="6"/>
        <v>26.955066666666667</v>
      </c>
      <c r="K32" s="178">
        <f>F32-5292.86</f>
        <v>-3271.2299999999996</v>
      </c>
      <c r="L32" s="178">
        <f>F32/2618.43*100</f>
        <v>77.20771607413603</v>
      </c>
      <c r="M32" s="35">
        <f>E32-квітень!E47</f>
        <v>2000</v>
      </c>
      <c r="N32" s="35">
        <f>F32-квітень!F47</f>
        <v>7.5300000000002</v>
      </c>
      <c r="O32" s="47">
        <f t="shared" si="3"/>
        <v>-1992.4699999999998</v>
      </c>
      <c r="P32" s="50">
        <f t="shared" si="5"/>
        <v>0.37650000000001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5163</v>
      </c>
      <c r="F33" s="18">
        <f>F34+F35+F36+F37+F38+F41+F42+F47+F48+F52+F40+F39</f>
        <v>11644.060000000001</v>
      </c>
      <c r="G33" s="44">
        <f aca="true" t="shared" si="7" ref="G33:G54">F33-E33</f>
        <v>6481.060000000001</v>
      </c>
      <c r="H33" s="45">
        <f>F33/E33*100</f>
        <v>225.528956033314</v>
      </c>
      <c r="I33" s="31">
        <f aca="true" t="shared" si="8" ref="I33:I54">F33-D33</f>
        <v>-923.039999999999</v>
      </c>
      <c r="J33" s="31">
        <f aca="true" t="shared" si="9" ref="J33:J46">F33/D33*100</f>
        <v>92.65510738356502</v>
      </c>
      <c r="K33" s="18">
        <f>K34+K35+K36+K37+K38+K41+K42+K47+K48+K52+K40</f>
        <v>6294.27</v>
      </c>
      <c r="L33" s="18"/>
      <c r="M33" s="18">
        <f>M34+M35+M36+M37+M38+M41+M42+M47+M48+M52+M40+M39</f>
        <v>1074.5</v>
      </c>
      <c r="N33" s="18">
        <f>N34+N35+N36+N37+N38+N41+N42+N47+N48+N52+N40+N39</f>
        <v>1210.4600000000003</v>
      </c>
      <c r="O33" s="49">
        <f aca="true" t="shared" si="10" ref="O33:O54">N33-M33</f>
        <v>135.96000000000026</v>
      </c>
      <c r="P33" s="31">
        <f>N33/M33*100</f>
        <v>112.65332712889719</v>
      </c>
      <c r="Q33" s="31">
        <f>N33-1017.63</f>
        <v>192.83000000000027</v>
      </c>
      <c r="R33" s="127">
        <f>N33/1017.63</f>
        <v>1.1894893035779215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85</v>
      </c>
      <c r="F34" s="143">
        <v>99.95</v>
      </c>
      <c r="G34" s="43">
        <f t="shared" si="7"/>
        <v>14.950000000000003</v>
      </c>
      <c r="H34" s="35">
        <f>F34/E34*100</f>
        <v>117.58823529411767</v>
      </c>
      <c r="I34" s="50">
        <f t="shared" si="8"/>
        <v>-100.05</v>
      </c>
      <c r="J34" s="50">
        <f t="shared" si="9"/>
        <v>49.975</v>
      </c>
      <c r="K34" s="50">
        <f>F34-105.19</f>
        <v>-5.239999999999995</v>
      </c>
      <c r="L34" s="50">
        <f>F34/105.19*100</f>
        <v>95.01853788382927</v>
      </c>
      <c r="M34" s="35">
        <f>E34-квітень!E56</f>
        <v>40</v>
      </c>
      <c r="N34" s="35">
        <f>F34-квітень!F56</f>
        <v>15.969999999999999</v>
      </c>
      <c r="O34" s="47">
        <f t="shared" si="10"/>
        <v>-24.03</v>
      </c>
      <c r="P34" s="50">
        <f>N34/M34*100</f>
        <v>39.925</v>
      </c>
      <c r="Q34" s="50">
        <f>N34-0</f>
        <v>15.969999999999999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143">
        <v>0</v>
      </c>
      <c r="G35" s="43">
        <f t="shared" si="7"/>
        <v>0</v>
      </c>
      <c r="H35" s="35"/>
      <c r="I35" s="50">
        <f t="shared" si="8"/>
        <v>0</v>
      </c>
      <c r="J35" s="50"/>
      <c r="K35" s="50">
        <f>F35-0</f>
        <v>0</v>
      </c>
      <c r="L35" s="50" t="e">
        <f>F35/0*100</f>
        <v>#DIV/0!</v>
      </c>
      <c r="M35" s="35">
        <f>E35-березень!E60</f>
        <v>0</v>
      </c>
      <c r="N35" s="35">
        <f>F35-березень!F60</f>
        <v>0</v>
      </c>
      <c r="O35" s="47">
        <f t="shared" si="10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143">
        <v>18.41</v>
      </c>
      <c r="G36" s="43">
        <f t="shared" si="7"/>
        <v>18.41</v>
      </c>
      <c r="H36" s="35"/>
      <c r="I36" s="50">
        <f t="shared" si="8"/>
        <v>18.41</v>
      </c>
      <c r="J36" s="50"/>
      <c r="K36" s="50">
        <f>F36-214.58</f>
        <v>-196.17000000000002</v>
      </c>
      <c r="L36" s="50">
        <f>F36/214.58*100</f>
        <v>8.579550750302916</v>
      </c>
      <c r="M36" s="35">
        <f>E36-квітень!E58</f>
        <v>0</v>
      </c>
      <c r="N36" s="35">
        <f>F36-квітень!F58</f>
        <v>0.1700000000000017</v>
      </c>
      <c r="O36" s="47">
        <f t="shared" si="10"/>
        <v>0.1700000000000017</v>
      </c>
      <c r="P36" s="50"/>
      <c r="Q36" s="50">
        <f>N36-4.23</f>
        <v>-4.059999999999999</v>
      </c>
      <c r="R36" s="126">
        <f>N36/4.23</f>
        <v>0.04018912529550867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</v>
      </c>
      <c r="F37" s="143">
        <v>0</v>
      </c>
      <c r="G37" s="43">
        <f t="shared" si="7"/>
        <v>-2</v>
      </c>
      <c r="H37" s="35">
        <f>F37/E37*100</f>
        <v>0</v>
      </c>
      <c r="I37" s="50">
        <f t="shared" si="8"/>
        <v>-6.5</v>
      </c>
      <c r="J37" s="50">
        <f t="shared" si="9"/>
        <v>0</v>
      </c>
      <c r="K37" s="50">
        <f>F37-5.08</f>
        <v>-5.08</v>
      </c>
      <c r="L37" s="50">
        <f>F37/5.08*100</f>
        <v>0</v>
      </c>
      <c r="M37" s="35">
        <f>E37-квітень!E59</f>
        <v>0.5</v>
      </c>
      <c r="N37" s="35">
        <f>F37-квітень!F59</f>
        <v>0</v>
      </c>
      <c r="O37" s="47">
        <f t="shared" si="10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51</v>
      </c>
      <c r="F38" s="143">
        <v>41.65</v>
      </c>
      <c r="G38" s="43">
        <f t="shared" si="7"/>
        <v>-9.350000000000001</v>
      </c>
      <c r="H38" s="35">
        <f>F38/E38*100</f>
        <v>81.66666666666667</v>
      </c>
      <c r="I38" s="50">
        <f t="shared" si="8"/>
        <v>-98.35</v>
      </c>
      <c r="J38" s="50">
        <f t="shared" si="9"/>
        <v>29.75</v>
      </c>
      <c r="K38" s="50">
        <f>F38-47.09</f>
        <v>-5.440000000000005</v>
      </c>
      <c r="L38" s="50">
        <f>F38/47.09*100</f>
        <v>88.44765342960288</v>
      </c>
      <c r="M38" s="35">
        <f>E38-квітень!E60</f>
        <v>14</v>
      </c>
      <c r="N38" s="35">
        <f>F38-квітень!F60</f>
        <v>0.3999999999999986</v>
      </c>
      <c r="O38" s="47">
        <f t="shared" si="10"/>
        <v>-13.600000000000001</v>
      </c>
      <c r="P38" s="50">
        <f>N38/M38*100</f>
        <v>2.857142857142847</v>
      </c>
      <c r="Q38" s="50">
        <f>N38-9.02</f>
        <v>-8.620000000000001</v>
      </c>
      <c r="R38" s="126">
        <f>N38/9.02</f>
        <v>0.044345898004434434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1.5</v>
      </c>
      <c r="G39" s="43"/>
      <c r="H39" s="35"/>
      <c r="I39" s="50">
        <f>F39-D39</f>
        <v>1.5</v>
      </c>
      <c r="J39" s="50"/>
      <c r="K39" s="50">
        <f>F39-0</f>
        <v>1.5</v>
      </c>
      <c r="L39" s="50"/>
      <c r="M39" s="35">
        <f>E39-квітень!E66</f>
        <v>0</v>
      </c>
      <c r="N39" s="35">
        <f>F39-квітень!F66</f>
        <v>0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143">
        <v>3528.55</v>
      </c>
      <c r="G40" s="43"/>
      <c r="H40" s="35"/>
      <c r="I40" s="50">
        <f t="shared" si="8"/>
        <v>3528.55</v>
      </c>
      <c r="J40" s="50"/>
      <c r="K40" s="50">
        <f>F40-0</f>
        <v>3528.55</v>
      </c>
      <c r="L40" s="50"/>
      <c r="M40" s="35">
        <f>E40-квітень!E67</f>
        <v>0</v>
      </c>
      <c r="N40" s="35">
        <f>F40-квітень!F67</f>
        <v>180.51999999999998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2970</v>
      </c>
      <c r="F41" s="143">
        <v>3403.1</v>
      </c>
      <c r="G41" s="43">
        <f t="shared" si="7"/>
        <v>433.0999999999999</v>
      </c>
      <c r="H41" s="35">
        <f>F41/E41*100</f>
        <v>114.58249158249158</v>
      </c>
      <c r="I41" s="50">
        <f t="shared" si="8"/>
        <v>-3496.9</v>
      </c>
      <c r="J41" s="50">
        <f t="shared" si="9"/>
        <v>49.32028985507246</v>
      </c>
      <c r="K41" s="50">
        <f>F41-2962.16</f>
        <v>440.94000000000005</v>
      </c>
      <c r="L41" s="50">
        <f>F41/2962.16*100</f>
        <v>114.88575904070004</v>
      </c>
      <c r="M41" s="35">
        <f>E41-квітень!E68</f>
        <v>550</v>
      </c>
      <c r="N41" s="35">
        <f>F41-квітень!F68</f>
        <v>729.3600000000001</v>
      </c>
      <c r="O41" s="47">
        <f t="shared" si="10"/>
        <v>179.36000000000013</v>
      </c>
      <c r="P41" s="50">
        <f>N41/M41*100</f>
        <v>132.6109090909091</v>
      </c>
      <c r="Q41" s="50">
        <f>N41-647.49</f>
        <v>81.87000000000012</v>
      </c>
      <c r="R41" s="126">
        <f>N41/647.49</f>
        <v>1.1264421072140112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380</v>
      </c>
      <c r="F42" s="143">
        <v>2952.07</v>
      </c>
      <c r="G42" s="43">
        <f t="shared" si="7"/>
        <v>2572.07</v>
      </c>
      <c r="H42" s="35">
        <f>F42/E42*100</f>
        <v>776.8605263157896</v>
      </c>
      <c r="I42" s="50">
        <f t="shared" si="8"/>
        <v>1852.0700000000002</v>
      </c>
      <c r="J42" s="50">
        <f t="shared" si="9"/>
        <v>268.37</v>
      </c>
      <c r="K42" s="50">
        <f>F42-350.98</f>
        <v>2601.09</v>
      </c>
      <c r="L42" s="50">
        <f>F42/350.98*100</f>
        <v>841.0935096016867</v>
      </c>
      <c r="M42" s="35">
        <f>E42-квітень!E69</f>
        <v>70</v>
      </c>
      <c r="N42" s="35">
        <f>F42-квітень!F69</f>
        <v>120.97000000000025</v>
      </c>
      <c r="O42" s="47">
        <f t="shared" si="10"/>
        <v>50.970000000000255</v>
      </c>
      <c r="P42" s="50">
        <f>N42/M42*100</f>
        <v>172.8142857142861</v>
      </c>
      <c r="Q42" s="50">
        <f>N42-79.51</f>
        <v>41.46000000000025</v>
      </c>
      <c r="R42" s="126">
        <f>N42/79.51</f>
        <v>1.521443843541696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330</v>
      </c>
      <c r="F43" s="144">
        <v>333.54</v>
      </c>
      <c r="G43" s="135">
        <f t="shared" si="7"/>
        <v>3.5400000000000205</v>
      </c>
      <c r="H43" s="137">
        <f>F43/E43*100</f>
        <v>101.07272727272726</v>
      </c>
      <c r="I43" s="136">
        <f t="shared" si="8"/>
        <v>-636.46</v>
      </c>
      <c r="J43" s="136">
        <f t="shared" si="9"/>
        <v>34.38556701030928</v>
      </c>
      <c r="K43" s="136">
        <f>F43-304.83</f>
        <v>28.710000000000036</v>
      </c>
      <c r="L43" s="136">
        <f>F43/304.83*100</f>
        <v>109.41836433421908</v>
      </c>
      <c r="M43" s="137"/>
      <c r="N43" s="137"/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44.45</v>
      </c>
      <c r="G44" s="135">
        <f t="shared" si="7"/>
        <v>44.45</v>
      </c>
      <c r="H44" s="137"/>
      <c r="I44" s="136">
        <f t="shared" si="8"/>
        <v>44.45</v>
      </c>
      <c r="J44" s="136"/>
      <c r="K44" s="136">
        <f>F44-0</f>
        <v>44.45</v>
      </c>
      <c r="L44" s="136"/>
      <c r="M44" s="137"/>
      <c r="N44" s="137"/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0.73</v>
      </c>
      <c r="G45" s="135">
        <f t="shared" si="7"/>
        <v>0.73</v>
      </c>
      <c r="H45" s="137"/>
      <c r="I45" s="136">
        <f t="shared" si="8"/>
        <v>0.73</v>
      </c>
      <c r="J45" s="136"/>
      <c r="K45" s="136">
        <f>F45-0</f>
        <v>0.73</v>
      </c>
      <c r="L45" s="136"/>
      <c r="M45" s="137"/>
      <c r="N45" s="137"/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50</v>
      </c>
      <c r="F46" s="144">
        <v>2549.52</v>
      </c>
      <c r="G46" s="135">
        <f t="shared" si="7"/>
        <v>2499.52</v>
      </c>
      <c r="H46" s="137">
        <f>F46/E46*100</f>
        <v>5099.04</v>
      </c>
      <c r="I46" s="136">
        <f t="shared" si="8"/>
        <v>2419.52</v>
      </c>
      <c r="J46" s="136">
        <f t="shared" si="9"/>
        <v>1961.1692307692308</v>
      </c>
      <c r="K46" s="136">
        <f>F46-46.16</f>
        <v>2503.36</v>
      </c>
      <c r="L46" s="136">
        <f>F46/46.16*100</f>
        <v>5523.223570190642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7"/>
        <v>0</v>
      </c>
      <c r="H47" s="35"/>
      <c r="I47" s="50">
        <f t="shared" si="8"/>
        <v>-7.6</v>
      </c>
      <c r="J47" s="50"/>
      <c r="K47" s="50">
        <f>F47-0</f>
        <v>0</v>
      </c>
      <c r="L47" s="50"/>
      <c r="M47" s="35">
        <f>E47-квітень!E70</f>
        <v>0</v>
      </c>
      <c r="N47" s="35">
        <f>F47-квітень!F70</f>
        <v>0</v>
      </c>
      <c r="O47" s="47">
        <f t="shared" si="10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1670</v>
      </c>
      <c r="F48" s="143">
        <v>1598.83</v>
      </c>
      <c r="G48" s="43">
        <f t="shared" si="7"/>
        <v>-71.17000000000007</v>
      </c>
      <c r="H48" s="35">
        <f>F48/E48*100</f>
        <v>95.73832335329341</v>
      </c>
      <c r="I48" s="50">
        <f t="shared" si="8"/>
        <v>-2601.17</v>
      </c>
      <c r="J48" s="50">
        <f>F48/D48*100</f>
        <v>38.06738095238095</v>
      </c>
      <c r="K48" s="50">
        <f>F48-1649.93</f>
        <v>-51.100000000000136</v>
      </c>
      <c r="L48" s="50">
        <f>F48/1649.93*100</f>
        <v>96.90289891086287</v>
      </c>
      <c r="M48" s="35">
        <f>E48-квітень!E72</f>
        <v>400</v>
      </c>
      <c r="N48" s="35">
        <f>F48-квітень!F72</f>
        <v>163.06999999999994</v>
      </c>
      <c r="O48" s="47">
        <f t="shared" si="10"/>
        <v>-236.93000000000006</v>
      </c>
      <c r="P48" s="50">
        <f aca="true" t="shared" si="11" ref="P48:P53">N48/M48*100</f>
        <v>40.767499999999984</v>
      </c>
      <c r="Q48" s="50">
        <f>N48-277.38</f>
        <v>-114.31000000000006</v>
      </c>
      <c r="R48" s="126">
        <f>N48/277.38</f>
        <v>0.5878938640132668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7"/>
        <v>0</v>
      </c>
      <c r="H49" s="35" t="e">
        <f>F49/E49*100</f>
        <v>#DIV/0!</v>
      </c>
      <c r="I49" s="50">
        <f t="shared" si="8"/>
        <v>0</v>
      </c>
      <c r="J49" s="50" t="e">
        <f>F49/D49*100</f>
        <v>#DIV/0!</v>
      </c>
      <c r="K49" s="50"/>
      <c r="L49" s="50">
        <f>F49</f>
        <v>0</v>
      </c>
      <c r="M49" s="35">
        <f>E49-березень!E76</f>
        <v>0</v>
      </c>
      <c r="N49" s="35">
        <f>F49-березень!F76</f>
        <v>0</v>
      </c>
      <c r="O49" s="47">
        <f t="shared" si="10"/>
        <v>0</v>
      </c>
      <c r="P49" s="50" t="e">
        <f t="shared" si="11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7"/>
        <v>0</v>
      </c>
      <c r="H50" s="35" t="e">
        <f>F50/E50*100</f>
        <v>#DIV/0!</v>
      </c>
      <c r="I50" s="50">
        <f t="shared" si="8"/>
        <v>0</v>
      </c>
      <c r="J50" s="50" t="e">
        <f>F50/D50*100</f>
        <v>#DIV/0!</v>
      </c>
      <c r="K50" s="50"/>
      <c r="L50" s="50">
        <f>F50</f>
        <v>0</v>
      </c>
      <c r="M50" s="35">
        <f>E50-березень!E77</f>
        <v>0</v>
      </c>
      <c r="N50" s="35">
        <f>F50-березень!F77</f>
        <v>0</v>
      </c>
      <c r="O50" s="47">
        <f t="shared" si="10"/>
        <v>0</v>
      </c>
      <c r="P50" s="50" t="e">
        <f t="shared" si="11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342.3</v>
      </c>
      <c r="G51" s="135">
        <f t="shared" si="7"/>
        <v>342.3</v>
      </c>
      <c r="H51" s="137"/>
      <c r="I51" s="136">
        <f t="shared" si="8"/>
        <v>342.3</v>
      </c>
      <c r="J51" s="136"/>
      <c r="K51" s="136">
        <f>F51-290</f>
        <v>52.30000000000001</v>
      </c>
      <c r="L51" s="138">
        <f>F51/290*100</f>
        <v>118.0344827586207</v>
      </c>
      <c r="M51" s="35">
        <f>E51-квітень!E75</f>
        <v>0</v>
      </c>
      <c r="N51" s="35">
        <f>F51-квітень!F75</f>
        <v>26.600000000000023</v>
      </c>
      <c r="O51" s="138">
        <f t="shared" si="10"/>
        <v>26.600000000000023</v>
      </c>
      <c r="P51" s="136"/>
      <c r="Q51" s="50">
        <f>N51-64.93</f>
        <v>-38.329999999999984</v>
      </c>
      <c r="R51" s="126">
        <f>N51/64.93</f>
        <v>0.4096719544124445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</v>
      </c>
      <c r="G52" s="43">
        <f t="shared" si="7"/>
        <v>-5</v>
      </c>
      <c r="H52" s="35"/>
      <c r="I52" s="50">
        <f t="shared" si="8"/>
        <v>-13</v>
      </c>
      <c r="J52" s="50"/>
      <c r="K52" s="50">
        <f>F52-13.28</f>
        <v>-13.28</v>
      </c>
      <c r="L52" s="50">
        <f>F52/13.28*100</f>
        <v>0</v>
      </c>
      <c r="M52" s="35">
        <f>E52-квітень!E76</f>
        <v>0</v>
      </c>
      <c r="N52" s="35">
        <f>F52-квітень!F76</f>
        <v>0</v>
      </c>
      <c r="O52" s="47">
        <f t="shared" si="10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10.6</v>
      </c>
      <c r="F53" s="143">
        <v>6.52</v>
      </c>
      <c r="G53" s="43">
        <f t="shared" si="7"/>
        <v>-4.08</v>
      </c>
      <c r="H53" s="35">
        <f>F53/E53*100</f>
        <v>61.50943396226415</v>
      </c>
      <c r="I53" s="50">
        <f t="shared" si="8"/>
        <v>-19.98</v>
      </c>
      <c r="J53" s="50">
        <f>F53/D53*100</f>
        <v>24.603773584905657</v>
      </c>
      <c r="K53" s="50">
        <f>F53-11.67</f>
        <v>-5.15</v>
      </c>
      <c r="L53" s="50">
        <f>F53/11.67*100</f>
        <v>55.86975149957155</v>
      </c>
      <c r="M53" s="35">
        <f>E53-квітень!E77</f>
        <v>2.1999999999999993</v>
      </c>
      <c r="N53" s="35">
        <f>F53-квітень!F77</f>
        <v>0</v>
      </c>
      <c r="O53" s="47">
        <f t="shared" si="10"/>
        <v>-2.1999999999999993</v>
      </c>
      <c r="P53" s="50">
        <f t="shared" si="11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0.02</v>
      </c>
      <c r="G54" s="43">
        <f t="shared" si="7"/>
        <v>0.02</v>
      </c>
      <c r="H54" s="35"/>
      <c r="I54" s="50">
        <f t="shared" si="8"/>
        <v>0.02</v>
      </c>
      <c r="J54" s="50"/>
      <c r="K54" s="50">
        <f>F54-0.04</f>
        <v>-0.02</v>
      </c>
      <c r="L54" s="50"/>
      <c r="M54" s="35">
        <f>E54-квітень!E78</f>
        <v>0</v>
      </c>
      <c r="N54" s="35">
        <f>F54-квітень!F78</f>
        <v>0</v>
      </c>
      <c r="O54" s="47">
        <f t="shared" si="10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228699.3</v>
      </c>
      <c r="F55" s="18">
        <f>F8+F33+F53+F54</f>
        <v>221618.16999999998</v>
      </c>
      <c r="G55" s="44">
        <f>F55-E55</f>
        <v>-7081.130000000005</v>
      </c>
      <c r="H55" s="45">
        <f>F55/E55*100</f>
        <v>96.90373779019001</v>
      </c>
      <c r="I55" s="31">
        <f>F55-D55</f>
        <v>-308404.43</v>
      </c>
      <c r="J55" s="31">
        <f>F55/D55*100</f>
        <v>41.812966088615845</v>
      </c>
      <c r="K55" s="31">
        <f>K8+K33+K53+K54</f>
        <v>20607.75000000001</v>
      </c>
      <c r="L55" s="31">
        <f>(K55/(F55+K55))*100</f>
        <v>8.507656818890402</v>
      </c>
      <c r="M55" s="18">
        <f>M8+M33+M53+M54</f>
        <v>47207.47</v>
      </c>
      <c r="N55" s="18">
        <f>N8+N33+N53+N54</f>
        <v>12640.880000000016</v>
      </c>
      <c r="O55" s="49">
        <f>N55-M55</f>
        <v>-34566.58999999998</v>
      </c>
      <c r="P55" s="31">
        <f>N55/M55*100</f>
        <v>26.777287577580445</v>
      </c>
      <c r="Q55" s="31">
        <f>N55-34768</f>
        <v>-22127.119999999984</v>
      </c>
      <c r="R55" s="171">
        <f>N55/34768</f>
        <v>0.36357800276116015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12020100</v>
      </c>
      <c r="D60" s="28"/>
      <c r="E60" s="28"/>
      <c r="F60" s="146">
        <v>8.75</v>
      </c>
      <c r="G60" s="43"/>
      <c r="H60" s="35"/>
      <c r="I60" s="53"/>
      <c r="J60" s="53"/>
      <c r="K60" s="53">
        <f>F60-(-1.1)</f>
        <v>9.85</v>
      </c>
      <c r="L60" s="53"/>
      <c r="M60" s="36"/>
      <c r="N60" s="36">
        <f>F60-квітень!F84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-19.38</v>
      </c>
      <c r="G61" s="43">
        <f aca="true" t="shared" si="12" ref="G61:G68">F61-E61</f>
        <v>-19.38</v>
      </c>
      <c r="H61" s="35"/>
      <c r="I61" s="53">
        <f aca="true" t="shared" si="13" ref="I61:I68">F61-D61</f>
        <v>-19.38</v>
      </c>
      <c r="J61" s="53"/>
      <c r="K61" s="47">
        <f>F61-119.54</f>
        <v>-138.92000000000002</v>
      </c>
      <c r="L61" s="53"/>
      <c r="M61" s="35">
        <f>E61-березень!E87</f>
        <v>0</v>
      </c>
      <c r="N61" s="35">
        <f>F61-квітень!F85</f>
        <v>-4.729999999999999</v>
      </c>
      <c r="O61" s="47">
        <f aca="true" t="shared" si="14" ref="O61:O68">N61-M61</f>
        <v>-4.729999999999999</v>
      </c>
      <c r="P61" s="53"/>
      <c r="Q61" s="53">
        <f>N61-24.53</f>
        <v>-29.259999999999998</v>
      </c>
      <c r="R61" s="129">
        <f>N61/24.53</f>
        <v>-0.19282511210762326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-10.629999999999999</v>
      </c>
      <c r="G62" s="55">
        <f t="shared" si="12"/>
        <v>-10.629999999999999</v>
      </c>
      <c r="H62" s="65"/>
      <c r="I62" s="54">
        <f t="shared" si="13"/>
        <v>-10.629999999999999</v>
      </c>
      <c r="J62" s="54"/>
      <c r="K62" s="54">
        <f>K60+K61</f>
        <v>-129.07000000000002</v>
      </c>
      <c r="L62" s="54"/>
      <c r="M62" s="55">
        <f>M61</f>
        <v>0</v>
      </c>
      <c r="N62" s="33">
        <f>SUM(N60:N61)</f>
        <v>-4.729999999999999</v>
      </c>
      <c r="O62" s="54">
        <f t="shared" si="14"/>
        <v>-4.729999999999999</v>
      </c>
      <c r="P62" s="54"/>
      <c r="Q62" s="54">
        <f>N62-92.85</f>
        <v>-97.58</v>
      </c>
      <c r="R62" s="130">
        <f>N62/92.85</f>
        <v>-0.050942380183090996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2"/>
        <v>0</v>
      </c>
      <c r="H63" s="35" t="e">
        <f>F63/E63*100</f>
        <v>#DIV/0!</v>
      </c>
      <c r="I63" s="53">
        <f t="shared" si="13"/>
        <v>0</v>
      </c>
      <c r="J63" s="53" t="e">
        <f aca="true" t="shared" si="15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4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91.72</v>
      </c>
      <c r="G64" s="43">
        <f t="shared" si="12"/>
        <v>-308.28</v>
      </c>
      <c r="H64" s="35"/>
      <c r="I64" s="53">
        <f t="shared" si="13"/>
        <v>-2408.28</v>
      </c>
      <c r="J64" s="53">
        <f t="shared" si="15"/>
        <v>3.6688</v>
      </c>
      <c r="K64" s="53">
        <f>F64-1611.93</f>
        <v>-1520.21</v>
      </c>
      <c r="L64" s="53">
        <f>F64/1611.93*100</f>
        <v>5.690073390283697</v>
      </c>
      <c r="M64" s="35">
        <f>E64-квітень!E88</f>
        <v>330</v>
      </c>
      <c r="N64" s="35">
        <f>F64-квітень!F88</f>
        <v>0</v>
      </c>
      <c r="O64" s="47">
        <f t="shared" si="14"/>
        <v>-330</v>
      </c>
      <c r="P64" s="53"/>
      <c r="Q64" s="53">
        <f>N64-0.04</f>
        <v>-0.04</v>
      </c>
      <c r="R64" s="129">
        <f>N64/0.04</f>
        <v>0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2063.66</v>
      </c>
      <c r="F65" s="146">
        <v>1984.19</v>
      </c>
      <c r="G65" s="43">
        <f t="shared" si="12"/>
        <v>-79.4699999999998</v>
      </c>
      <c r="H65" s="35">
        <f>F65/E65*100</f>
        <v>96.14907494451607</v>
      </c>
      <c r="I65" s="53">
        <f t="shared" si="13"/>
        <v>-9591.81</v>
      </c>
      <c r="J65" s="53">
        <f t="shared" si="15"/>
        <v>17.140549412577748</v>
      </c>
      <c r="K65" s="53">
        <f>F65-2070.75</f>
        <v>-86.55999999999995</v>
      </c>
      <c r="L65" s="53">
        <f>F65/2070.75*100</f>
        <v>95.81987202704335</v>
      </c>
      <c r="M65" s="35">
        <f>E65-квітень!E89</f>
        <v>564.6799999999998</v>
      </c>
      <c r="N65" s="35">
        <f>F65-квітень!F89</f>
        <v>46.13000000000011</v>
      </c>
      <c r="O65" s="47">
        <f t="shared" si="14"/>
        <v>-518.5499999999997</v>
      </c>
      <c r="P65" s="53">
        <f>N65/M65*100</f>
        <v>8.169228589643714</v>
      </c>
      <c r="Q65" s="53">
        <f>N65-450.01</f>
        <v>-403.8799999999999</v>
      </c>
      <c r="R65" s="129">
        <f>N65/450.01</f>
        <v>0.10250883313704165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592.4</v>
      </c>
      <c r="F66" s="146">
        <v>1667.98</v>
      </c>
      <c r="G66" s="43">
        <f t="shared" si="12"/>
        <v>1075.58</v>
      </c>
      <c r="H66" s="35">
        <f>F66/E66*100</f>
        <v>281.56313301823093</v>
      </c>
      <c r="I66" s="53">
        <f t="shared" si="13"/>
        <v>-1332.02</v>
      </c>
      <c r="J66" s="53">
        <f t="shared" si="15"/>
        <v>55.599333333333334</v>
      </c>
      <c r="K66" s="53">
        <f>F66-700.79</f>
        <v>967.19</v>
      </c>
      <c r="L66" s="53">
        <f>F66/700.79*100</f>
        <v>238.01424107079154</v>
      </c>
      <c r="M66" s="35">
        <f>E66-квітень!E90</f>
        <v>148.09999999999997</v>
      </c>
      <c r="N66" s="35">
        <f>F66-квітень!F90</f>
        <v>1633.84</v>
      </c>
      <c r="O66" s="47">
        <f t="shared" si="14"/>
        <v>1485.74</v>
      </c>
      <c r="P66" s="53">
        <f>N66/M66*100</f>
        <v>1103.2005401755573</v>
      </c>
      <c r="Q66" s="53">
        <f>N66-1.05</f>
        <v>1632.79</v>
      </c>
      <c r="R66" s="129">
        <f>N66/1.05</f>
        <v>1556.0380952380951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3056.06</v>
      </c>
      <c r="F67" s="145">
        <f>F64+F65+F66</f>
        <v>3743.89</v>
      </c>
      <c r="G67" s="55">
        <f t="shared" si="12"/>
        <v>687.8299999999999</v>
      </c>
      <c r="H67" s="65">
        <f>F67/E67*100</f>
        <v>122.50708428499439</v>
      </c>
      <c r="I67" s="54">
        <f t="shared" si="13"/>
        <v>-13332.11</v>
      </c>
      <c r="J67" s="54">
        <f t="shared" si="15"/>
        <v>21.92486530803467</v>
      </c>
      <c r="K67" s="54">
        <f>K64+K65+K66</f>
        <v>-639.5799999999999</v>
      </c>
      <c r="L67" s="54"/>
      <c r="M67" s="55">
        <f>M64+M65+M66</f>
        <v>1042.7799999999997</v>
      </c>
      <c r="N67" s="55">
        <f>N64+N65+N66</f>
        <v>1679.97</v>
      </c>
      <c r="O67" s="54">
        <f t="shared" si="14"/>
        <v>637.1900000000003</v>
      </c>
      <c r="P67" s="54">
        <f>N67/M67*100</f>
        <v>161.10493104969413</v>
      </c>
      <c r="Q67" s="54">
        <f>N67-7985.28</f>
        <v>-6305.3099999999995</v>
      </c>
      <c r="R67" s="173">
        <f>N67/7985.28</f>
        <v>0.21038335537388797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11</v>
      </c>
      <c r="F68" s="146">
        <v>0</v>
      </c>
      <c r="G68" s="43">
        <f t="shared" si="12"/>
        <v>-11</v>
      </c>
      <c r="H68" s="35"/>
      <c r="I68" s="53">
        <f t="shared" si="13"/>
        <v>-35</v>
      </c>
      <c r="J68" s="53">
        <f t="shared" si="15"/>
        <v>0</v>
      </c>
      <c r="K68" s="53">
        <f>F68-10.71</f>
        <v>-10.71</v>
      </c>
      <c r="L68" s="53">
        <f>F68/10.71*100</f>
        <v>0</v>
      </c>
      <c r="M68" s="35">
        <f>E68-квітень!E92</f>
        <v>2</v>
      </c>
      <c r="N68" s="35">
        <f>F68-квітень!F92</f>
        <v>0</v>
      </c>
      <c r="O68" s="47">
        <f t="shared" si="14"/>
        <v>-2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146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E69-квітень!E94</f>
        <v>0</v>
      </c>
      <c r="N69" s="35">
        <f>F69-квітень!F94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0.7</v>
      </c>
      <c r="G70" s="43">
        <f>F70-E70</f>
        <v>0.7</v>
      </c>
      <c r="H70" s="35"/>
      <c r="I70" s="53">
        <f>F70-D70</f>
        <v>0.7</v>
      </c>
      <c r="J70" s="53"/>
      <c r="K70" s="53">
        <f>F70-0.04</f>
        <v>0.6599999999999999</v>
      </c>
      <c r="L70" s="53">
        <f>F70/0.04*100</f>
        <v>1750</v>
      </c>
      <c r="M70" s="35">
        <f>E70-квітень!E95</f>
        <v>0</v>
      </c>
      <c r="N70" s="35">
        <f>F70-квітень!F95</f>
        <v>0</v>
      </c>
      <c r="O70" s="47">
        <f>N70-M70</f>
        <v>0</v>
      </c>
      <c r="P70" s="53"/>
      <c r="Q70" s="53">
        <f>N70-(-0.21)</f>
        <v>0.21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21</v>
      </c>
      <c r="F71" s="145">
        <f>F68+F70+F69</f>
        <v>0.7</v>
      </c>
      <c r="G71" s="55">
        <f>F71-E71</f>
        <v>-20.3</v>
      </c>
      <c r="H71" s="65"/>
      <c r="I71" s="54">
        <f>F71-D71</f>
        <v>-53.3</v>
      </c>
      <c r="J71" s="54">
        <f>F71/D71*100</f>
        <v>1.2962962962962963</v>
      </c>
      <c r="K71" s="54">
        <f>K68+K69+K70</f>
        <v>-27.810000000000002</v>
      </c>
      <c r="L71" s="54"/>
      <c r="M71" s="55">
        <f>M68+M70+M69</f>
        <v>2</v>
      </c>
      <c r="N71" s="55">
        <f>N68+N70+N69</f>
        <v>0</v>
      </c>
      <c r="O71" s="54">
        <f>N71-M71</f>
        <v>-2</v>
      </c>
      <c r="P71" s="54"/>
      <c r="Q71" s="54">
        <f>N71-26.38</f>
        <v>-26.38</v>
      </c>
      <c r="R71" s="128">
        <f>N71/26.38</f>
        <v>0</v>
      </c>
    </row>
    <row r="72" spans="2:18" ht="31.5">
      <c r="B72" s="14" t="s">
        <v>125</v>
      </c>
      <c r="C72" s="59">
        <v>24110900</v>
      </c>
      <c r="D72" s="28">
        <v>42</v>
      </c>
      <c r="E72" s="28">
        <v>13.79</v>
      </c>
      <c r="F72" s="146">
        <v>13.38</v>
      </c>
      <c r="G72" s="43">
        <f>F72-E72</f>
        <v>-0.40999999999999837</v>
      </c>
      <c r="H72" s="35">
        <f>F72/E72*100</f>
        <v>97.02683103698332</v>
      </c>
      <c r="I72" s="53">
        <f>F72-D72</f>
        <v>-28.619999999999997</v>
      </c>
      <c r="J72" s="53">
        <f>F72/D72*100</f>
        <v>31.85714285714286</v>
      </c>
      <c r="K72" s="53">
        <f>F72-13.15</f>
        <v>0.23000000000000043</v>
      </c>
      <c r="L72" s="53">
        <f>F72/13.15*100</f>
        <v>101.74904942965779</v>
      </c>
      <c r="M72" s="35">
        <f>E72-квітень!E97</f>
        <v>1</v>
      </c>
      <c r="N72" s="35">
        <f>F72-квітень!F97</f>
        <v>0</v>
      </c>
      <c r="O72" s="47">
        <f>N72-M72</f>
        <v>-1</v>
      </c>
      <c r="P72" s="53">
        <f>N72/M72*100</f>
        <v>0</v>
      </c>
      <c r="Q72" s="53">
        <f>N72-0.45</f>
        <v>-0.45</v>
      </c>
      <c r="R72" s="129">
        <f>N72/0.45</f>
        <v>0</v>
      </c>
    </row>
    <row r="73" spans="2:18" ht="15.75">
      <c r="B73" s="184" t="s">
        <v>258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F73-квітень!F98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3090.85</v>
      </c>
      <c r="F74" s="27">
        <f>F62+F72+F67+F71+F73</f>
        <v>3747.5399999999995</v>
      </c>
      <c r="G74" s="44">
        <f>F74-E74</f>
        <v>656.6899999999996</v>
      </c>
      <c r="H74" s="45">
        <f>F74/E74*100</f>
        <v>121.24625911965963</v>
      </c>
      <c r="I74" s="31">
        <f>F74-D74</f>
        <v>-13424.460000000001</v>
      </c>
      <c r="J74" s="31">
        <f>F74/D74*100</f>
        <v>21.823549965059396</v>
      </c>
      <c r="K74" s="31">
        <f>K62+K67+K71+K72</f>
        <v>-796.23</v>
      </c>
      <c r="L74" s="31"/>
      <c r="M74" s="27">
        <f>M62+M72+M67+M71</f>
        <v>1045.7799999999997</v>
      </c>
      <c r="N74" s="27">
        <f>N62+N72+N67+N71+N73</f>
        <v>1675.24</v>
      </c>
      <c r="O74" s="31">
        <f>N74-M74</f>
        <v>629.4600000000003</v>
      </c>
      <c r="P74" s="31">
        <f>N74/M74*100</f>
        <v>160.19047983323455</v>
      </c>
      <c r="Q74" s="31">
        <f>N74-8104.96</f>
        <v>-6429.72</v>
      </c>
      <c r="R74" s="127">
        <f>N74/8104.96</f>
        <v>0.2066931854074542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231790.15</v>
      </c>
      <c r="F75" s="27">
        <f>F55+F74</f>
        <v>225365.71</v>
      </c>
      <c r="G75" s="44">
        <f>F75-E75</f>
        <v>-6424.440000000002</v>
      </c>
      <c r="H75" s="45">
        <f>F75/E75*100</f>
        <v>97.22833778743401</v>
      </c>
      <c r="I75" s="31">
        <f>F75-D75</f>
        <v>-321828.89</v>
      </c>
      <c r="J75" s="31">
        <f>F75/D75*100</f>
        <v>41.185660457906565</v>
      </c>
      <c r="K75" s="31">
        <f>K55+K74</f>
        <v>19811.52000000001</v>
      </c>
      <c r="L75" s="31"/>
      <c r="M75" s="18">
        <f>M55+M74</f>
        <v>48253.25</v>
      </c>
      <c r="N75" s="18">
        <f>N55+N74</f>
        <v>14316.120000000015</v>
      </c>
      <c r="O75" s="31">
        <f>N75-M75</f>
        <v>-33937.12999999998</v>
      </c>
      <c r="P75" s="31">
        <f>N75/M75*100</f>
        <v>29.66871661494307</v>
      </c>
      <c r="Q75" s="31">
        <f>N75-42872.96</f>
        <v>-28556.839999999982</v>
      </c>
      <c r="R75" s="127">
        <f>N75/42872.96</f>
        <v>0.3339195614205321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14</v>
      </c>
      <c r="D77" s="4" t="s">
        <v>118</v>
      </c>
    </row>
    <row r="78" spans="2:17" ht="31.5">
      <c r="B78" s="71" t="s">
        <v>154</v>
      </c>
      <c r="C78" s="34">
        <f>IF(O55&lt;0,ABS(O55/C77),0)</f>
        <v>2469.0421428571417</v>
      </c>
      <c r="D78" s="4" t="s">
        <v>104</v>
      </c>
      <c r="G78" s="231"/>
      <c r="H78" s="231"/>
      <c r="I78" s="231"/>
      <c r="J78" s="231"/>
      <c r="K78" s="115"/>
      <c r="L78" s="115"/>
      <c r="P78" s="29"/>
      <c r="Q78" s="29"/>
    </row>
    <row r="79" spans="2:15" ht="34.5" customHeight="1">
      <c r="B79" s="72" t="s">
        <v>159</v>
      </c>
      <c r="C79" s="111">
        <v>42132</v>
      </c>
      <c r="D79" s="34">
        <v>2660.2</v>
      </c>
      <c r="N79" s="232"/>
      <c r="O79" s="232"/>
    </row>
    <row r="80" spans="3:15" ht="15.75">
      <c r="C80" s="111">
        <v>42131</v>
      </c>
      <c r="D80" s="34">
        <v>4003</v>
      </c>
      <c r="F80" s="155" t="s">
        <v>166</v>
      </c>
      <c r="G80" s="233"/>
      <c r="H80" s="233"/>
      <c r="I80" s="177"/>
      <c r="J80" s="234"/>
      <c r="K80" s="234"/>
      <c r="L80" s="234"/>
      <c r="M80" s="234"/>
      <c r="N80" s="232"/>
      <c r="O80" s="232"/>
    </row>
    <row r="81" spans="3:15" ht="15.75" customHeight="1">
      <c r="C81" s="111">
        <v>42130</v>
      </c>
      <c r="D81" s="34">
        <v>3535.4</v>
      </c>
      <c r="G81" s="238" t="s">
        <v>151</v>
      </c>
      <c r="H81" s="238"/>
      <c r="I81" s="106">
        <v>8909.73221</v>
      </c>
      <c r="J81" s="239"/>
      <c r="K81" s="239"/>
      <c r="L81" s="239"/>
      <c r="M81" s="239"/>
      <c r="N81" s="232"/>
      <c r="O81" s="232"/>
    </row>
    <row r="82" spans="7:13" ht="15.75" customHeight="1">
      <c r="G82" s="240" t="s">
        <v>234</v>
      </c>
      <c r="H82" s="241"/>
      <c r="I82" s="103">
        <v>0</v>
      </c>
      <c r="J82" s="234"/>
      <c r="K82" s="234"/>
      <c r="L82" s="234"/>
      <c r="M82" s="234"/>
    </row>
    <row r="83" spans="2:13" ht="18.75" customHeight="1">
      <c r="B83" s="242" t="s">
        <v>160</v>
      </c>
      <c r="C83" s="243"/>
      <c r="D83" s="108">
        <v>156536.03687</v>
      </c>
      <c r="E83" s="73"/>
      <c r="F83" s="156" t="s">
        <v>147</v>
      </c>
      <c r="G83" s="238" t="s">
        <v>149</v>
      </c>
      <c r="H83" s="238"/>
      <c r="I83" s="107">
        <v>147626.30466</v>
      </c>
      <c r="J83" s="234"/>
      <c r="K83" s="234"/>
      <c r="L83" s="234"/>
      <c r="M83" s="234"/>
    </row>
    <row r="84" spans="7:12" ht="9.75" customHeight="1">
      <c r="G84" s="233"/>
      <c r="H84" s="233"/>
      <c r="I84" s="90"/>
      <c r="J84" s="91"/>
      <c r="K84" s="91"/>
      <c r="L84" s="91"/>
    </row>
    <row r="85" spans="2:12" ht="22.5" customHeight="1" hidden="1">
      <c r="B85" s="244" t="s">
        <v>167</v>
      </c>
      <c r="C85" s="245"/>
      <c r="D85" s="110">
        <v>0</v>
      </c>
      <c r="E85" s="70" t="s">
        <v>104</v>
      </c>
      <c r="G85" s="233"/>
      <c r="H85" s="233"/>
      <c r="I85" s="90"/>
      <c r="J85" s="91"/>
      <c r="K85" s="91"/>
      <c r="L85" s="91"/>
    </row>
    <row r="86" spans="4:15" ht="15.75">
      <c r="D86" s="105"/>
      <c r="N86" s="233"/>
      <c r="O86" s="233"/>
    </row>
    <row r="87" spans="4:15" ht="15.75">
      <c r="D87" s="104"/>
      <c r="I87" s="34"/>
      <c r="N87" s="246"/>
      <c r="O87" s="246"/>
    </row>
    <row r="88" spans="14:15" ht="15.75">
      <c r="N88" s="233"/>
      <c r="O88" s="233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4" right="0.18" top="0.26" bottom="0.36" header="0.17" footer="0.29"/>
  <pageSetup fitToHeight="1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7"/>
  <sheetViews>
    <sheetView zoomScale="75" zoomScaleNormal="75" workbookViewId="0" topLeftCell="B1">
      <pane xSplit="2" ySplit="9" topLeftCell="D5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201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05" t="s">
        <v>259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117"/>
      <c r="R1" s="118"/>
    </row>
    <row r="2" spans="2:18" s="1" customFormat="1" ht="15.75" customHeight="1">
      <c r="B2" s="206"/>
      <c r="C2" s="206"/>
      <c r="D2" s="206"/>
      <c r="E2" s="2"/>
      <c r="F2" s="185"/>
      <c r="G2" s="2"/>
      <c r="H2" s="2"/>
      <c r="P2" s="20" t="s">
        <v>104</v>
      </c>
      <c r="Q2" s="20"/>
      <c r="R2" s="119"/>
    </row>
    <row r="3" spans="1:18" s="3" customFormat="1" ht="13.5" customHeight="1">
      <c r="A3" s="207"/>
      <c r="B3" s="209"/>
      <c r="C3" s="210" t="s">
        <v>0</v>
      </c>
      <c r="D3" s="211" t="s">
        <v>261</v>
      </c>
      <c r="E3" s="40"/>
      <c r="F3" s="212" t="s">
        <v>107</v>
      </c>
      <c r="G3" s="213"/>
      <c r="H3" s="213"/>
      <c r="I3" s="213"/>
      <c r="J3" s="214"/>
      <c r="K3" s="114"/>
      <c r="L3" s="114"/>
      <c r="M3" s="215" t="s">
        <v>240</v>
      </c>
      <c r="N3" s="218" t="s">
        <v>241</v>
      </c>
      <c r="O3" s="218"/>
      <c r="P3" s="218"/>
      <c r="Q3" s="218"/>
      <c r="R3" s="218"/>
    </row>
    <row r="4" spans="1:18" ht="22.5" customHeight="1">
      <c r="A4" s="207"/>
      <c r="B4" s="209"/>
      <c r="C4" s="210"/>
      <c r="D4" s="211"/>
      <c r="E4" s="219" t="s">
        <v>237</v>
      </c>
      <c r="F4" s="247" t="s">
        <v>116</v>
      </c>
      <c r="G4" s="225" t="s">
        <v>238</v>
      </c>
      <c r="H4" s="227" t="s">
        <v>239</v>
      </c>
      <c r="I4" s="229" t="s">
        <v>217</v>
      </c>
      <c r="J4" s="216" t="s">
        <v>218</v>
      </c>
      <c r="K4" s="116" t="s">
        <v>172</v>
      </c>
      <c r="L4" s="121" t="s">
        <v>171</v>
      </c>
      <c r="M4" s="216"/>
      <c r="N4" s="235" t="s">
        <v>260</v>
      </c>
      <c r="O4" s="229" t="s">
        <v>136</v>
      </c>
      <c r="P4" s="237" t="s">
        <v>135</v>
      </c>
      <c r="Q4" s="122" t="s">
        <v>172</v>
      </c>
      <c r="R4" s="123" t="s">
        <v>171</v>
      </c>
    </row>
    <row r="5" spans="1:19" ht="92.25" customHeight="1">
      <c r="A5" s="208"/>
      <c r="B5" s="209"/>
      <c r="C5" s="210"/>
      <c r="D5" s="211"/>
      <c r="E5" s="220"/>
      <c r="F5" s="248"/>
      <c r="G5" s="226"/>
      <c r="H5" s="228"/>
      <c r="I5" s="230"/>
      <c r="J5" s="217"/>
      <c r="K5" s="221" t="s">
        <v>242</v>
      </c>
      <c r="L5" s="222"/>
      <c r="M5" s="217"/>
      <c r="N5" s="236"/>
      <c r="O5" s="230"/>
      <c r="P5" s="237"/>
      <c r="Q5" s="221" t="s">
        <v>176</v>
      </c>
      <c r="R5" s="222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8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8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D10+D19+D31+D34+D35+D47+D30</f>
        <v>517429</v>
      </c>
      <c r="E8" s="18">
        <f>E10+E19+E31+E34+E35+E47+E30</f>
        <v>177394.93</v>
      </c>
      <c r="F8" s="187">
        <f>F10+F19+F31+F34+F35+F47+F30</f>
        <v>198537.15</v>
      </c>
      <c r="G8" s="18">
        <f aca="true" t="shared" si="0" ref="G8:G47">F8-E8</f>
        <v>21142.22</v>
      </c>
      <c r="H8" s="45">
        <f>F8/E8*100</f>
        <v>111.91816474123584</v>
      </c>
      <c r="I8" s="31">
        <f aca="true" t="shared" si="1" ref="I8:I47">F8-D8</f>
        <v>-318891.85</v>
      </c>
      <c r="J8" s="31">
        <f aca="true" t="shared" si="2" ref="J8:J15">F8/D8*100</f>
        <v>38.369930947047806</v>
      </c>
      <c r="K8" s="18">
        <f>K10+K19+K31+K34+K35+K47</f>
        <v>46892.08</v>
      </c>
      <c r="L8" s="18"/>
      <c r="M8" s="18">
        <f>M10+M19+M31+M34+M35+M47+M30</f>
        <v>41736.35</v>
      </c>
      <c r="N8" s="18">
        <f>N10+N19+N31+N34+N35+N47+N30</f>
        <v>59054.369999999995</v>
      </c>
      <c r="O8" s="31">
        <f aca="true" t="shared" si="3" ref="O8:O50">N8-M8</f>
        <v>17318.019999999997</v>
      </c>
      <c r="P8" s="31">
        <f>F8/M8*100</f>
        <v>475.6936100066249</v>
      </c>
      <c r="Q8" s="31">
        <f>N8-33748.16</f>
        <v>25306.209999999992</v>
      </c>
      <c r="R8" s="125">
        <f>N8/33748.16</f>
        <v>1.749854510586651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88">
        <f>F10+F17</f>
        <v>110765.65</v>
      </c>
      <c r="G9" s="18">
        <f t="shared" si="0"/>
        <v>110765.65</v>
      </c>
      <c r="H9" s="16"/>
      <c r="I9" s="50">
        <f t="shared" si="1"/>
        <v>-201924.35</v>
      </c>
      <c r="J9" s="50">
        <f t="shared" si="2"/>
        <v>35.42347052991781</v>
      </c>
      <c r="K9" s="50"/>
      <c r="L9" s="50"/>
      <c r="M9" s="16">
        <f>M10+M17</f>
        <v>25134</v>
      </c>
      <c r="N9" s="16">
        <f>N10+N17</f>
        <v>32328.149999999994</v>
      </c>
      <c r="O9" s="31">
        <f t="shared" si="3"/>
        <v>7194.149999999994</v>
      </c>
      <c r="P9" s="50">
        <f>F9/M9*100</f>
        <v>440.7004456115222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101647.98</v>
      </c>
      <c r="F10" s="189">
        <v>110765.65</v>
      </c>
      <c r="G10" s="43">
        <f t="shared" si="0"/>
        <v>9117.669999999998</v>
      </c>
      <c r="H10" s="35">
        <f aca="true" t="shared" si="4" ref="H10:H47">F10/E10*100</f>
        <v>108.96984868759812</v>
      </c>
      <c r="I10" s="50">
        <f t="shared" si="1"/>
        <v>-201924.35</v>
      </c>
      <c r="J10" s="50">
        <f t="shared" si="2"/>
        <v>35.42347052991781</v>
      </c>
      <c r="K10" s="132">
        <f>F10-117120.15/75*60</f>
        <v>17069.53</v>
      </c>
      <c r="L10" s="132">
        <f>F10/(117120.15/75*60)*100</f>
        <v>118.21796889775158</v>
      </c>
      <c r="M10" s="35">
        <f>E10-березень!E10</f>
        <v>25134</v>
      </c>
      <c r="N10" s="35">
        <f>F10-березень!F10</f>
        <v>32328.149999999994</v>
      </c>
      <c r="O10" s="47">
        <f t="shared" si="3"/>
        <v>7194.149999999994</v>
      </c>
      <c r="P10" s="50">
        <f aca="true" t="shared" si="5" ref="P10:P47">N10/M10*100</f>
        <v>128.6231797565051</v>
      </c>
      <c r="Q10" s="132">
        <f>N10-26568.11</f>
        <v>5760.039999999994</v>
      </c>
      <c r="R10" s="133">
        <f>N10/26568.11</f>
        <v>1.2168027759595994</v>
      </c>
      <c r="S10" s="158"/>
    </row>
    <row r="11" spans="1:18" s="6" customFormat="1" ht="15.75">
      <c r="A11" s="8"/>
      <c r="B11" s="183" t="s">
        <v>253</v>
      </c>
      <c r="C11" s="134">
        <v>11010100</v>
      </c>
      <c r="D11" s="135">
        <v>240410</v>
      </c>
      <c r="E11" s="135">
        <v>89571.58</v>
      </c>
      <c r="F11" s="190">
        <v>98351.31</v>
      </c>
      <c r="G11" s="135">
        <f t="shared" si="0"/>
        <v>8779.729999999996</v>
      </c>
      <c r="H11" s="137">
        <f t="shared" si="4"/>
        <v>109.80191484843742</v>
      </c>
      <c r="I11" s="136">
        <f t="shared" si="1"/>
        <v>-142058.69</v>
      </c>
      <c r="J11" s="136">
        <f t="shared" si="2"/>
        <v>40.90982488249241</v>
      </c>
      <c r="K11" s="136">
        <f>F11-106961.61/75*60</f>
        <v>12782.021999999997</v>
      </c>
      <c r="L11" s="136">
        <f>F11/(106961.61/75*60)*100</f>
        <v>114.93762808918078</v>
      </c>
      <c r="M11" s="137">
        <f>E11-березень!E11</f>
        <v>89571.58</v>
      </c>
      <c r="N11" s="137">
        <f>F11-березень!F11</f>
        <v>98351.31</v>
      </c>
      <c r="O11" s="138">
        <f t="shared" si="3"/>
        <v>8779.729999999996</v>
      </c>
      <c r="P11" s="136">
        <f t="shared" si="5"/>
        <v>109.80191484843742</v>
      </c>
      <c r="Q11" s="50"/>
      <c r="R11" s="126"/>
    </row>
    <row r="12" spans="1:18" s="6" customFormat="1" ht="15.75">
      <c r="A12" s="8"/>
      <c r="B12" s="183" t="s">
        <v>249</v>
      </c>
      <c r="C12" s="134">
        <v>11010200</v>
      </c>
      <c r="D12" s="135">
        <v>23700</v>
      </c>
      <c r="E12" s="135">
        <v>6948</v>
      </c>
      <c r="F12" s="190">
        <v>6301.46</v>
      </c>
      <c r="G12" s="135">
        <f t="shared" si="0"/>
        <v>-646.54</v>
      </c>
      <c r="H12" s="137">
        <f t="shared" si="4"/>
        <v>90.69458837075418</v>
      </c>
      <c r="I12" s="136">
        <f t="shared" si="1"/>
        <v>-17398.54</v>
      </c>
      <c r="J12" s="136">
        <f t="shared" si="2"/>
        <v>26.5884388185654</v>
      </c>
      <c r="K12" s="136">
        <f>F12-6905.65/75*60</f>
        <v>776.9399999999996</v>
      </c>
      <c r="L12" s="136">
        <f>F12/(6905.65/75*60)*100</f>
        <v>114.06348424840529</v>
      </c>
      <c r="M12" s="137">
        <f>E12-березень!E12</f>
        <v>6948</v>
      </c>
      <c r="N12" s="137">
        <f>F12-березень!F12</f>
        <v>6301.46</v>
      </c>
      <c r="O12" s="138">
        <f t="shared" si="3"/>
        <v>-646.54</v>
      </c>
      <c r="P12" s="136">
        <f t="shared" si="5"/>
        <v>90.69458837075418</v>
      </c>
      <c r="Q12" s="50"/>
      <c r="R12" s="126"/>
    </row>
    <row r="13" spans="1:18" s="6" customFormat="1" ht="15.75">
      <c r="A13" s="8"/>
      <c r="B13" s="183" t="s">
        <v>252</v>
      </c>
      <c r="C13" s="134">
        <v>11010400</v>
      </c>
      <c r="D13" s="135">
        <v>5800</v>
      </c>
      <c r="E13" s="135">
        <v>1719</v>
      </c>
      <c r="F13" s="190">
        <v>1718.24</v>
      </c>
      <c r="G13" s="135">
        <f t="shared" si="0"/>
        <v>-0.7599999999999909</v>
      </c>
      <c r="H13" s="137">
        <f t="shared" si="4"/>
        <v>99.95578824898197</v>
      </c>
      <c r="I13" s="136">
        <f t="shared" si="1"/>
        <v>-4081.76</v>
      </c>
      <c r="J13" s="136">
        <f t="shared" si="2"/>
        <v>29.624827586206898</v>
      </c>
      <c r="K13" s="136">
        <f>F13-1478.58/75*60</f>
        <v>535.3760000000002</v>
      </c>
      <c r="L13" s="136">
        <f>F13/(1478.58/75*60)*100</f>
        <v>145.26099365607544</v>
      </c>
      <c r="M13" s="137">
        <f>E13-березень!E13</f>
        <v>1719</v>
      </c>
      <c r="N13" s="137">
        <f>F13-березень!F13</f>
        <v>1718.24</v>
      </c>
      <c r="O13" s="138">
        <f t="shared" si="3"/>
        <v>-0.7599999999999909</v>
      </c>
      <c r="P13" s="136">
        <f t="shared" si="5"/>
        <v>99.95578824898197</v>
      </c>
      <c r="Q13" s="50"/>
      <c r="R13" s="126"/>
    </row>
    <row r="14" spans="1:18" s="6" customFormat="1" ht="15.75">
      <c r="A14" s="8"/>
      <c r="B14" s="183" t="s">
        <v>250</v>
      </c>
      <c r="C14" s="134">
        <v>11010500</v>
      </c>
      <c r="D14" s="135">
        <v>8400</v>
      </c>
      <c r="E14" s="135">
        <v>2155.4</v>
      </c>
      <c r="F14" s="190">
        <v>1662.77</v>
      </c>
      <c r="G14" s="135">
        <f t="shared" si="0"/>
        <v>-492.6300000000001</v>
      </c>
      <c r="H14" s="137">
        <f t="shared" si="4"/>
        <v>77.14438155330797</v>
      </c>
      <c r="I14" s="136">
        <f t="shared" si="1"/>
        <v>-6737.23</v>
      </c>
      <c r="J14" s="136">
        <f t="shared" si="2"/>
        <v>19.794880952380954</v>
      </c>
      <c r="K14" s="136">
        <f>F14-1774.3/75*60</f>
        <v>243.32999999999993</v>
      </c>
      <c r="L14" s="136">
        <f>F14/(1774.3/75*60)*100</f>
        <v>117.14267598489545</v>
      </c>
      <c r="M14" s="137">
        <f>E14-березень!E14</f>
        <v>2155.4</v>
      </c>
      <c r="N14" s="137">
        <f>F14-березень!F14</f>
        <v>1662.77</v>
      </c>
      <c r="O14" s="138">
        <f t="shared" si="3"/>
        <v>-492.6300000000001</v>
      </c>
      <c r="P14" s="136">
        <f t="shared" si="5"/>
        <v>77.14438155330797</v>
      </c>
      <c r="Q14" s="50"/>
      <c r="R14" s="126"/>
    </row>
    <row r="15" spans="1:18" s="6" customFormat="1" ht="15.75">
      <c r="A15" s="8"/>
      <c r="B15" s="183" t="s">
        <v>251</v>
      </c>
      <c r="C15" s="134">
        <v>11010900</v>
      </c>
      <c r="D15" s="135">
        <v>4380</v>
      </c>
      <c r="E15" s="135">
        <v>1254</v>
      </c>
      <c r="F15" s="190">
        <v>2731.87</v>
      </c>
      <c r="G15" s="135">
        <f t="shared" si="0"/>
        <v>1477.87</v>
      </c>
      <c r="H15" s="137">
        <f t="shared" si="4"/>
        <v>217.8524720893142</v>
      </c>
      <c r="I15" s="136">
        <f t="shared" si="1"/>
        <v>-1648.13</v>
      </c>
      <c r="J15" s="136">
        <f t="shared" si="2"/>
        <v>62.37146118721461</v>
      </c>
      <c r="K15" s="136">
        <f>F15-0</f>
        <v>2731.87</v>
      </c>
      <c r="L15" s="136"/>
      <c r="M15" s="137">
        <f>E15-березень!E15</f>
        <v>1254</v>
      </c>
      <c r="N15" s="137">
        <f>F15-березень!F15</f>
        <v>2731.87</v>
      </c>
      <c r="O15" s="138">
        <f t="shared" si="3"/>
        <v>1477.87</v>
      </c>
      <c r="P15" s="136">
        <f t="shared" si="5"/>
        <v>217.8524720893142</v>
      </c>
      <c r="Q15" s="50"/>
      <c r="R15" s="126"/>
    </row>
    <row r="16" spans="1:18" s="6" customFormat="1" ht="47.25" customHeight="1">
      <c r="A16" s="8"/>
      <c r="B16" s="14"/>
      <c r="C16" s="59"/>
      <c r="D16" s="36">
        <v>0</v>
      </c>
      <c r="E16" s="36">
        <v>0</v>
      </c>
      <c r="F16" s="189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E16-березень!E16</f>
        <v>0</v>
      </c>
      <c r="N16" s="35">
        <f>F16-березень!F16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>
      <c r="A17" s="8"/>
      <c r="B17" s="12"/>
      <c r="C17" s="59"/>
      <c r="D17" s="36">
        <v>0</v>
      </c>
      <c r="E17" s="36">
        <v>0</v>
      </c>
      <c r="F17" s="189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E17-березень!E17</f>
        <v>0</v>
      </c>
      <c r="N17" s="35">
        <f>F17-березень!F17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>
      <c r="A18" s="8"/>
      <c r="B18" s="61"/>
      <c r="C18" s="92"/>
      <c r="D18" s="36">
        <v>0</v>
      </c>
      <c r="E18" s="36">
        <v>0</v>
      </c>
      <c r="F18" s="189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E18-березень!E18</f>
        <v>0</v>
      </c>
      <c r="N18" s="35">
        <f>F18-березень!F18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89">
        <v>-910.25</v>
      </c>
      <c r="G19" s="43">
        <f t="shared" si="0"/>
        <v>-1081.45</v>
      </c>
      <c r="H19" s="35"/>
      <c r="I19" s="50">
        <f t="shared" si="1"/>
        <v>-1410.25</v>
      </c>
      <c r="J19" s="50">
        <f aca="true" t="shared" si="6" ref="J19:J31">F19/D19*100</f>
        <v>-182.05</v>
      </c>
      <c r="K19" s="50">
        <f>F19-552.92</f>
        <v>-1463.17</v>
      </c>
      <c r="L19" s="50">
        <f>F19/552.92*100</f>
        <v>-164.62598567604718</v>
      </c>
      <c r="M19" s="35">
        <f>E19-березень!E19</f>
        <v>0</v>
      </c>
      <c r="N19" s="35">
        <f>F19-березень!F19</f>
        <v>109.63</v>
      </c>
      <c r="O19" s="47">
        <f t="shared" si="3"/>
        <v>109.63</v>
      </c>
      <c r="P19" s="50"/>
      <c r="Q19" s="50">
        <f>N19-358.81</f>
        <v>-249.18</v>
      </c>
      <c r="R19" s="126">
        <f>N19/358.81</f>
        <v>0.3055377497840082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89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E20-березень!E20</f>
        <v>0</v>
      </c>
      <c r="N20" s="35">
        <f>F20-березень!F20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89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E21-березень!E21</f>
        <v>0</v>
      </c>
      <c r="N21" s="35">
        <f>F21-березень!F21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89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E22-березень!E22</f>
        <v>0</v>
      </c>
      <c r="N22" s="35">
        <f>F22-березень!F22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89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E23-березень!E23</f>
        <v>0</v>
      </c>
      <c r="N23" s="35">
        <f>F23-березень!F23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89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E24-березень!E24</f>
        <v>0</v>
      </c>
      <c r="N24" s="35">
        <f>F24-березень!F24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89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E25-березень!E25</f>
        <v>0</v>
      </c>
      <c r="N25" s="35">
        <f>F25-березень!F25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89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E26-березень!E26</f>
        <v>0</v>
      </c>
      <c r="N26" s="35">
        <f>F26-березень!F26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89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E27-березень!E27</f>
        <v>0</v>
      </c>
      <c r="N27" s="35">
        <f>F27-березень!F27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89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E28-березень!E28</f>
        <v>0</v>
      </c>
      <c r="N28" s="35">
        <f>F28-березень!F28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90">
        <v>-1372.45</v>
      </c>
      <c r="G29" s="135">
        <f t="shared" si="0"/>
        <v>-1372.45</v>
      </c>
      <c r="H29" s="137"/>
      <c r="I29" s="136">
        <f t="shared" si="1"/>
        <v>-1372.45</v>
      </c>
      <c r="J29" s="136"/>
      <c r="K29" s="136">
        <f>F29-783.18</f>
        <v>-2155.63</v>
      </c>
      <c r="L29" s="136">
        <f>F29/783.18*100</f>
        <v>-175.24068541076127</v>
      </c>
      <c r="M29" s="35">
        <f>E29-березень!E29</f>
        <v>0</v>
      </c>
      <c r="N29" s="35">
        <f>F29-березень!F29</f>
        <v>44.73000000000002</v>
      </c>
      <c r="O29" s="138">
        <f t="shared" si="3"/>
        <v>44.73000000000002</v>
      </c>
      <c r="P29" s="50"/>
      <c r="Q29" s="136">
        <f>N29-358.81</f>
        <v>-314.08</v>
      </c>
      <c r="R29" s="141">
        <f>N29/358.79</f>
        <v>0.12466902645001258</v>
      </c>
    </row>
    <row r="30" spans="1:18" s="6" customFormat="1" ht="31.5">
      <c r="A30" s="8"/>
      <c r="B30" s="60" t="s">
        <v>247</v>
      </c>
      <c r="C30" s="181">
        <v>13010200</v>
      </c>
      <c r="D30" s="135">
        <v>0</v>
      </c>
      <c r="E30" s="135">
        <v>0</v>
      </c>
      <c r="F30" s="190">
        <v>0.09</v>
      </c>
      <c r="G30" s="135"/>
      <c r="H30" s="137"/>
      <c r="I30" s="136"/>
      <c r="J30" s="136"/>
      <c r="K30" s="136">
        <f>F30-783.18</f>
        <v>-783.0899999999999</v>
      </c>
      <c r="L30" s="136">
        <f>F30/783.18*100</f>
        <v>0.011491611123879567</v>
      </c>
      <c r="M30" s="35">
        <v>0</v>
      </c>
      <c r="N30" s="35">
        <f>F30</f>
        <v>0.09</v>
      </c>
      <c r="O30" s="138"/>
      <c r="P30" s="50"/>
      <c r="Q30" s="136"/>
      <c r="R30" s="141"/>
    </row>
    <row r="31" spans="1:18" s="6" customFormat="1" ht="31.5">
      <c r="A31" s="8"/>
      <c r="B31" s="15" t="s">
        <v>206</v>
      </c>
      <c r="C31" s="59">
        <v>13030200</v>
      </c>
      <c r="D31" s="36">
        <v>19</v>
      </c>
      <c r="E31" s="36">
        <v>13</v>
      </c>
      <c r="F31" s="189">
        <v>15.8</v>
      </c>
      <c r="G31" s="43">
        <f t="shared" si="0"/>
        <v>2.8000000000000007</v>
      </c>
      <c r="H31" s="35">
        <f t="shared" si="4"/>
        <v>121.53846153846155</v>
      </c>
      <c r="I31" s="50">
        <f t="shared" si="1"/>
        <v>-3.1999999999999993</v>
      </c>
      <c r="J31" s="50">
        <f t="shared" si="6"/>
        <v>83.15789473684211</v>
      </c>
      <c r="K31" s="50">
        <f>F31-2.91</f>
        <v>12.89</v>
      </c>
      <c r="L31" s="136">
        <f>F31/2.91*100</f>
        <v>542.9553264604812</v>
      </c>
      <c r="M31" s="35">
        <f>E31-березень!E30</f>
        <v>0</v>
      </c>
      <c r="N31" s="35">
        <f>F31-березень!F30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47.25" hidden="1">
      <c r="A32" s="8"/>
      <c r="B32" s="14" t="s">
        <v>30</v>
      </c>
      <c r="C32" s="59">
        <v>13030500</v>
      </c>
      <c r="D32" s="36">
        <v>0</v>
      </c>
      <c r="E32" s="36">
        <v>0</v>
      </c>
      <c r="F32" s="189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 t="e">
        <f>F32/D32*100</f>
        <v>#DIV/0!</v>
      </c>
      <c r="K32" s="50">
        <f>F32-2.91</f>
        <v>-2.91</v>
      </c>
      <c r="L32" s="136">
        <f>F32/2.91*100</f>
        <v>0</v>
      </c>
      <c r="M32" s="35">
        <f>E32-березень!E31</f>
        <v>0</v>
      </c>
      <c r="N32" s="35">
        <f>F32-березень!F31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31.5" hidden="1">
      <c r="A33" s="8"/>
      <c r="B33" s="14" t="s">
        <v>31</v>
      </c>
      <c r="C33" s="59">
        <v>13030600</v>
      </c>
      <c r="D33" s="36">
        <v>0</v>
      </c>
      <c r="E33" s="36">
        <v>0</v>
      </c>
      <c r="F33" s="189">
        <v>0</v>
      </c>
      <c r="G33" s="43">
        <f t="shared" si="0"/>
        <v>0</v>
      </c>
      <c r="H33" s="35" t="e">
        <f t="shared" si="4"/>
        <v>#DIV/0!</v>
      </c>
      <c r="I33" s="50">
        <f t="shared" si="1"/>
        <v>0</v>
      </c>
      <c r="J33" s="50"/>
      <c r="K33" s="50">
        <f>F33-2.91</f>
        <v>-2.91</v>
      </c>
      <c r="L33" s="136">
        <f>F33/2.91*100</f>
        <v>0</v>
      </c>
      <c r="M33" s="35">
        <f>E33-березень!E32</f>
        <v>0</v>
      </c>
      <c r="N33" s="35">
        <f>F33-березень!F32</f>
        <v>0</v>
      </c>
      <c r="O33" s="47">
        <f t="shared" si="3"/>
        <v>0</v>
      </c>
      <c r="P33" s="50" t="e">
        <f t="shared" si="5"/>
        <v>#DIV/0!</v>
      </c>
      <c r="Q33" s="50"/>
      <c r="R33" s="126"/>
    </row>
    <row r="34" spans="1:18" s="6" customFormat="1" ht="47.25">
      <c r="A34" s="8"/>
      <c r="B34" s="60" t="s">
        <v>204</v>
      </c>
      <c r="C34" s="59">
        <v>14040000</v>
      </c>
      <c r="D34" s="43">
        <v>29950</v>
      </c>
      <c r="E34" s="43">
        <v>12662.75</v>
      </c>
      <c r="F34" s="191">
        <v>16357.62</v>
      </c>
      <c r="G34" s="43">
        <f t="shared" si="0"/>
        <v>3694.870000000001</v>
      </c>
      <c r="H34" s="35">
        <f t="shared" si="4"/>
        <v>129.17904878482162</v>
      </c>
      <c r="I34" s="50">
        <f t="shared" si="1"/>
        <v>-13592.38</v>
      </c>
      <c r="J34" s="178">
        <f>F34/D34*100</f>
        <v>54.61642737896495</v>
      </c>
      <c r="K34" s="179">
        <f>F34-0</f>
        <v>16357.62</v>
      </c>
      <c r="L34" s="180"/>
      <c r="M34" s="35">
        <f>E34-березень!E33</f>
        <v>2722.75</v>
      </c>
      <c r="N34" s="35">
        <f>F34-березень!F33</f>
        <v>6287.140000000001</v>
      </c>
      <c r="O34" s="47">
        <f t="shared" si="3"/>
        <v>3564.3900000000012</v>
      </c>
      <c r="P34" s="50">
        <f t="shared" si="5"/>
        <v>230.91139472959327</v>
      </c>
      <c r="Q34" s="139"/>
      <c r="R34" s="140"/>
    </row>
    <row r="35" spans="1:18" s="6" customFormat="1" ht="15.75">
      <c r="A35" s="8"/>
      <c r="B35" s="176" t="s">
        <v>207</v>
      </c>
      <c r="C35" s="59">
        <v>18000000</v>
      </c>
      <c r="D35" s="43">
        <f>D36+D40+D42</f>
        <v>166770</v>
      </c>
      <c r="E35" s="43">
        <f>E36+E40+E42</f>
        <v>60905.5</v>
      </c>
      <c r="F35" s="192">
        <f>F36+F40+F42+F41</f>
        <v>70294.14</v>
      </c>
      <c r="G35" s="43">
        <f t="shared" si="0"/>
        <v>9388.64</v>
      </c>
      <c r="H35" s="35">
        <f t="shared" si="4"/>
        <v>115.4150938749374</v>
      </c>
      <c r="I35" s="50">
        <f t="shared" si="1"/>
        <v>-96475.86</v>
      </c>
      <c r="J35" s="178">
        <f aca="true" t="shared" si="11" ref="J35:J47">F35/D35*100</f>
        <v>42.15035078251484</v>
      </c>
      <c r="K35" s="178">
        <f>K36+K40+K41+K42</f>
        <v>15519.540000000003</v>
      </c>
      <c r="L35" s="136"/>
      <c r="M35" s="35">
        <f>E35-березень!E34</f>
        <v>13870.5</v>
      </c>
      <c r="N35" s="35">
        <f>F35-березень!F34</f>
        <v>20315.160000000003</v>
      </c>
      <c r="O35" s="47">
        <f t="shared" si="3"/>
        <v>6444.6600000000035</v>
      </c>
      <c r="P35" s="50">
        <f t="shared" si="5"/>
        <v>146.46306910349304</v>
      </c>
      <c r="Q35" s="139"/>
      <c r="R35" s="140"/>
    </row>
    <row r="36" spans="1:18" s="6" customFormat="1" ht="15.75">
      <c r="A36" s="8"/>
      <c r="B36" s="60" t="s">
        <v>243</v>
      </c>
      <c r="C36" s="170">
        <v>18010000</v>
      </c>
      <c r="D36" s="43">
        <f>D37+D38+D39</f>
        <v>98200</v>
      </c>
      <c r="E36" s="43">
        <f>E37+E38+E39</f>
        <v>31853</v>
      </c>
      <c r="F36" s="192">
        <f>F37+F38+F39</f>
        <v>37283.9</v>
      </c>
      <c r="G36" s="43">
        <f t="shared" si="0"/>
        <v>5430.9000000000015</v>
      </c>
      <c r="H36" s="35">
        <f t="shared" si="4"/>
        <v>117.04988541110728</v>
      </c>
      <c r="I36" s="50">
        <f t="shared" si="1"/>
        <v>-60916.1</v>
      </c>
      <c r="J36" s="178">
        <f t="shared" si="11"/>
        <v>37.96731160896131</v>
      </c>
      <c r="K36" s="178">
        <f>K37+K38+K39</f>
        <v>11238.620000000003</v>
      </c>
      <c r="L36" s="136"/>
      <c r="M36" s="35">
        <f>E36-березень!E35</f>
        <v>8066</v>
      </c>
      <c r="N36" s="35">
        <f>F36-березень!F35</f>
        <v>12673.640000000003</v>
      </c>
      <c r="O36" s="47">
        <f t="shared" si="3"/>
        <v>4607.640000000003</v>
      </c>
      <c r="P36" s="50">
        <f t="shared" si="5"/>
        <v>157.1242251425738</v>
      </c>
      <c r="Q36" s="139"/>
      <c r="R36" s="140"/>
    </row>
    <row r="37" spans="1:18" s="6" customFormat="1" ht="15.75">
      <c r="A37" s="8"/>
      <c r="B37" s="69" t="s">
        <v>209</v>
      </c>
      <c r="C37" s="59"/>
      <c r="D37" s="135">
        <v>1000</v>
      </c>
      <c r="E37" s="135">
        <v>271</v>
      </c>
      <c r="F37" s="190">
        <v>4219.07</v>
      </c>
      <c r="G37" s="135">
        <f t="shared" si="0"/>
        <v>3948.0699999999997</v>
      </c>
      <c r="H37" s="137">
        <f t="shared" si="4"/>
        <v>1556.8523985239851</v>
      </c>
      <c r="I37" s="136">
        <f t="shared" si="1"/>
        <v>3219.0699999999997</v>
      </c>
      <c r="J37" s="136">
        <f t="shared" si="11"/>
        <v>421.9069999999999</v>
      </c>
      <c r="K37" s="136">
        <f>F37-127.86</f>
        <v>4091.2099999999996</v>
      </c>
      <c r="L37" s="136">
        <f>F37/127.86*100</f>
        <v>3299.7575473173783</v>
      </c>
      <c r="M37" s="35">
        <f>E37-березень!E36</f>
        <v>161</v>
      </c>
      <c r="N37" s="35">
        <f>F37-березень!F36</f>
        <v>3692.79</v>
      </c>
      <c r="O37" s="47">
        <f t="shared" si="3"/>
        <v>3531.79</v>
      </c>
      <c r="P37" s="50">
        <f t="shared" si="5"/>
        <v>2293.6583850931675</v>
      </c>
      <c r="Q37" s="139"/>
      <c r="R37" s="140"/>
    </row>
    <row r="38" spans="1:18" s="6" customFormat="1" ht="15.75">
      <c r="A38" s="8"/>
      <c r="B38" s="69" t="s">
        <v>210</v>
      </c>
      <c r="C38" s="59"/>
      <c r="D38" s="135">
        <v>1500</v>
      </c>
      <c r="E38" s="135">
        <v>250</v>
      </c>
      <c r="F38" s="190">
        <v>141.72</v>
      </c>
      <c r="G38" s="135">
        <f t="shared" si="0"/>
        <v>-108.28</v>
      </c>
      <c r="H38" s="137"/>
      <c r="I38" s="136">
        <f t="shared" si="1"/>
        <v>-1358.28</v>
      </c>
      <c r="J38" s="136">
        <f t="shared" si="11"/>
        <v>9.447999999999999</v>
      </c>
      <c r="K38" s="136">
        <f>F38-0</f>
        <v>141.72</v>
      </c>
      <c r="L38" s="136"/>
      <c r="M38" s="35">
        <f>E38-березень!E37</f>
        <v>250</v>
      </c>
      <c r="N38" s="35">
        <f>F38-березень!F37</f>
        <v>104.02</v>
      </c>
      <c r="O38" s="47">
        <f t="shared" si="3"/>
        <v>-145.98000000000002</v>
      </c>
      <c r="P38" s="50"/>
      <c r="Q38" s="139"/>
      <c r="R38" s="140"/>
    </row>
    <row r="39" spans="1:18" s="6" customFormat="1" ht="15.75">
      <c r="A39" s="8"/>
      <c r="B39" s="69" t="s">
        <v>211</v>
      </c>
      <c r="C39" s="59"/>
      <c r="D39" s="135">
        <v>95700</v>
      </c>
      <c r="E39" s="135">
        <v>31332</v>
      </c>
      <c r="F39" s="190">
        <v>32923.11</v>
      </c>
      <c r="G39" s="135">
        <f t="shared" si="0"/>
        <v>1591.1100000000006</v>
      </c>
      <c r="H39" s="137">
        <f t="shared" si="4"/>
        <v>105.07822673305247</v>
      </c>
      <c r="I39" s="136">
        <f t="shared" si="1"/>
        <v>-62776.89</v>
      </c>
      <c r="J39" s="136">
        <f t="shared" si="11"/>
        <v>34.40241379310345</v>
      </c>
      <c r="K39" s="139">
        <f>F39-25917.42</f>
        <v>7005.690000000002</v>
      </c>
      <c r="L39" s="139">
        <f>F39/25917.42*100</f>
        <v>127.03081556729028</v>
      </c>
      <c r="M39" s="35">
        <f>E39-березень!E38</f>
        <v>7655</v>
      </c>
      <c r="N39" s="35">
        <f>F39-березень!F38</f>
        <v>8876.830000000002</v>
      </c>
      <c r="O39" s="47">
        <f t="shared" si="3"/>
        <v>1221.8300000000017</v>
      </c>
      <c r="P39" s="50">
        <f t="shared" si="5"/>
        <v>115.96120182887005</v>
      </c>
      <c r="Q39" s="139"/>
      <c r="R39" s="140"/>
    </row>
    <row r="40" spans="1:18" s="6" customFormat="1" ht="15.75">
      <c r="A40" s="8"/>
      <c r="B40" s="60" t="s">
        <v>244</v>
      </c>
      <c r="C40" s="170">
        <v>18030000</v>
      </c>
      <c r="D40" s="43">
        <v>70</v>
      </c>
      <c r="E40" s="43">
        <v>12.5</v>
      </c>
      <c r="F40" s="191">
        <v>23.16</v>
      </c>
      <c r="G40" s="43">
        <f t="shared" si="0"/>
        <v>10.66</v>
      </c>
      <c r="H40" s="35">
        <f t="shared" si="4"/>
        <v>185.28</v>
      </c>
      <c r="I40" s="50">
        <f t="shared" si="1"/>
        <v>-46.84</v>
      </c>
      <c r="J40" s="178">
        <f t="shared" si="11"/>
        <v>33.08571428571428</v>
      </c>
      <c r="K40" s="178">
        <f>F40-22.12</f>
        <v>1.0399999999999991</v>
      </c>
      <c r="L40" s="178">
        <f>F40/22.12*100</f>
        <v>104.70162748643762</v>
      </c>
      <c r="M40" s="35">
        <f>E40-березень!E39</f>
        <v>4.5</v>
      </c>
      <c r="N40" s="35">
        <f>F40-березень!F39</f>
        <v>5.539999999999999</v>
      </c>
      <c r="O40" s="47">
        <f t="shared" si="3"/>
        <v>1.0399999999999991</v>
      </c>
      <c r="P40" s="50">
        <f t="shared" si="5"/>
        <v>123.11111111111109</v>
      </c>
      <c r="Q40" s="139"/>
      <c r="R40" s="140"/>
    </row>
    <row r="41" spans="1:18" s="6" customFormat="1" ht="47.25">
      <c r="A41" s="8"/>
      <c r="B41" s="60" t="s">
        <v>245</v>
      </c>
      <c r="C41" s="170">
        <v>18040000</v>
      </c>
      <c r="D41" s="43"/>
      <c r="E41" s="43"/>
      <c r="F41" s="191">
        <v>-59.24</v>
      </c>
      <c r="G41" s="43">
        <f t="shared" si="0"/>
        <v>-59.24</v>
      </c>
      <c r="H41" s="35"/>
      <c r="I41" s="50">
        <f t="shared" si="1"/>
        <v>-59.24</v>
      </c>
      <c r="J41" s="136"/>
      <c r="K41" s="178">
        <f>F41-2145.36</f>
        <v>-2204.6</v>
      </c>
      <c r="L41" s="178">
        <f>F41/2145.36*100</f>
        <v>-2.7613081254428162</v>
      </c>
      <c r="M41" s="35">
        <f>E41-березень!E40</f>
        <v>0</v>
      </c>
      <c r="N41" s="35">
        <f>F41-березень!F40</f>
        <v>-72.13</v>
      </c>
      <c r="O41" s="47">
        <f t="shared" si="3"/>
        <v>-72.13</v>
      </c>
      <c r="P41" s="50"/>
      <c r="Q41" s="139"/>
      <c r="R41" s="140"/>
    </row>
    <row r="42" spans="1:18" s="6" customFormat="1" ht="15.75">
      <c r="A42" s="8"/>
      <c r="B42" s="60" t="s">
        <v>246</v>
      </c>
      <c r="C42" s="170">
        <v>18050000</v>
      </c>
      <c r="D42" s="43">
        <v>68500</v>
      </c>
      <c r="E42" s="43">
        <v>29040</v>
      </c>
      <c r="F42" s="191">
        <v>33046.32</v>
      </c>
      <c r="G42" s="43">
        <f t="shared" si="0"/>
        <v>4006.3199999999997</v>
      </c>
      <c r="H42" s="35">
        <f t="shared" si="4"/>
        <v>113.79586776859504</v>
      </c>
      <c r="I42" s="50">
        <f t="shared" si="1"/>
        <v>-35453.68</v>
      </c>
      <c r="J42" s="178">
        <f t="shared" si="11"/>
        <v>48.242802919708026</v>
      </c>
      <c r="K42" s="132">
        <f>F42-26561.84</f>
        <v>6484.48</v>
      </c>
      <c r="L42" s="132">
        <f>F42/26561.84*100</f>
        <v>124.4127665854474</v>
      </c>
      <c r="M42" s="35">
        <f>E42-березень!E41</f>
        <v>5800</v>
      </c>
      <c r="N42" s="35">
        <f>F42-березень!F41</f>
        <v>7708.110000000001</v>
      </c>
      <c r="O42" s="47">
        <f t="shared" si="3"/>
        <v>1908.1100000000006</v>
      </c>
      <c r="P42" s="50">
        <f t="shared" si="5"/>
        <v>132.89844827586208</v>
      </c>
      <c r="Q42" s="139"/>
      <c r="R42" s="140"/>
    </row>
    <row r="43" spans="1:18" s="6" customFormat="1" ht="15.75" hidden="1">
      <c r="A43" s="8"/>
      <c r="B43" s="69" t="s">
        <v>254</v>
      </c>
      <c r="C43" s="134">
        <v>18050200</v>
      </c>
      <c r="D43" s="135">
        <v>0</v>
      </c>
      <c r="E43" s="135">
        <v>0</v>
      </c>
      <c r="F43" s="190">
        <v>-1.22</v>
      </c>
      <c r="G43" s="135">
        <f t="shared" si="0"/>
        <v>-1.22</v>
      </c>
      <c r="H43" s="137"/>
      <c r="I43" s="136">
        <f t="shared" si="1"/>
        <v>-1.22</v>
      </c>
      <c r="J43" s="136" t="e">
        <f t="shared" si="11"/>
        <v>#DIV/0!</v>
      </c>
      <c r="K43" s="139">
        <f>F43-0.29</f>
        <v>-1.51</v>
      </c>
      <c r="L43" s="139">
        <f>F43/0.29*100</f>
        <v>-420.6896551724138</v>
      </c>
      <c r="M43" s="137"/>
      <c r="N43" s="137"/>
      <c r="O43" s="138"/>
      <c r="P43" s="136"/>
      <c r="Q43" s="139"/>
      <c r="R43" s="140"/>
    </row>
    <row r="44" spans="1:18" s="6" customFormat="1" ht="15.75" hidden="1">
      <c r="A44" s="8"/>
      <c r="B44" s="69" t="s">
        <v>255</v>
      </c>
      <c r="C44" s="134">
        <v>18050300</v>
      </c>
      <c r="D44" s="135">
        <v>16500</v>
      </c>
      <c r="E44" s="135">
        <v>6640</v>
      </c>
      <c r="F44" s="190">
        <v>8182.41</v>
      </c>
      <c r="G44" s="135">
        <f t="shared" si="0"/>
        <v>1542.4099999999999</v>
      </c>
      <c r="H44" s="137"/>
      <c r="I44" s="136">
        <f t="shared" si="1"/>
        <v>-8317.59</v>
      </c>
      <c r="J44" s="136">
        <f t="shared" si="11"/>
        <v>49.59036363636364</v>
      </c>
      <c r="K44" s="139">
        <f>F44-6631.94</f>
        <v>1550.4700000000003</v>
      </c>
      <c r="L44" s="139">
        <f>F44/6631.94*100</f>
        <v>123.37883032717426</v>
      </c>
      <c r="M44" s="137"/>
      <c r="N44" s="137"/>
      <c r="O44" s="138"/>
      <c r="P44" s="136"/>
      <c r="Q44" s="139"/>
      <c r="R44" s="140"/>
    </row>
    <row r="45" spans="1:18" s="6" customFormat="1" ht="15.75" hidden="1">
      <c r="A45" s="8"/>
      <c r="B45" s="69" t="s">
        <v>256</v>
      </c>
      <c r="C45" s="134">
        <v>18050400</v>
      </c>
      <c r="D45" s="135">
        <v>52000</v>
      </c>
      <c r="E45" s="135">
        <v>22400</v>
      </c>
      <c r="F45" s="190">
        <v>24859.36</v>
      </c>
      <c r="G45" s="135">
        <f t="shared" si="0"/>
        <v>2459.3600000000006</v>
      </c>
      <c r="H45" s="137"/>
      <c r="I45" s="136">
        <f t="shared" si="1"/>
        <v>-27140.64</v>
      </c>
      <c r="J45" s="136">
        <f t="shared" si="11"/>
        <v>47.80646153846154</v>
      </c>
      <c r="K45" s="139">
        <f>F45-19929.61</f>
        <v>4929.75</v>
      </c>
      <c r="L45" s="139">
        <f>F45/19929.61*100</f>
        <v>124.73580767511257</v>
      </c>
      <c r="M45" s="137"/>
      <c r="N45" s="137"/>
      <c r="O45" s="138"/>
      <c r="P45" s="136"/>
      <c r="Q45" s="139"/>
      <c r="R45" s="140"/>
    </row>
    <row r="46" spans="1:18" s="6" customFormat="1" ht="15.75" hidden="1">
      <c r="A46" s="8"/>
      <c r="B46" s="69" t="s">
        <v>257</v>
      </c>
      <c r="C46" s="134">
        <v>18050500</v>
      </c>
      <c r="D46" s="135">
        <v>0</v>
      </c>
      <c r="E46" s="135">
        <v>0</v>
      </c>
      <c r="F46" s="190">
        <v>5.75</v>
      </c>
      <c r="G46" s="135">
        <f t="shared" si="0"/>
        <v>5.75</v>
      </c>
      <c r="H46" s="137"/>
      <c r="I46" s="136">
        <f t="shared" si="1"/>
        <v>5.75</v>
      </c>
      <c r="J46" s="136" t="e">
        <f t="shared" si="11"/>
        <v>#DIV/0!</v>
      </c>
      <c r="K46" s="139">
        <f>F46-0</f>
        <v>5.75</v>
      </c>
      <c r="L46" s="139"/>
      <c r="M46" s="137"/>
      <c r="N46" s="137"/>
      <c r="O46" s="138"/>
      <c r="P46" s="136"/>
      <c r="Q46" s="139"/>
      <c r="R46" s="140"/>
    </row>
    <row r="47" spans="1:18" s="6" customFormat="1" ht="15.75">
      <c r="A47" s="8"/>
      <c r="B47" s="60" t="s">
        <v>132</v>
      </c>
      <c r="C47" s="59">
        <v>19010000</v>
      </c>
      <c r="D47" s="43">
        <v>7500</v>
      </c>
      <c r="E47" s="43">
        <v>1994.5</v>
      </c>
      <c r="F47" s="191">
        <v>2014.1</v>
      </c>
      <c r="G47" s="43">
        <f t="shared" si="0"/>
        <v>19.59999999999991</v>
      </c>
      <c r="H47" s="35">
        <f t="shared" si="4"/>
        <v>100.98270243168714</v>
      </c>
      <c r="I47" s="50">
        <f t="shared" si="1"/>
        <v>-5485.9</v>
      </c>
      <c r="J47" s="136">
        <f t="shared" si="11"/>
        <v>26.854666666666667</v>
      </c>
      <c r="K47" s="178">
        <f>F47-2618.43</f>
        <v>-604.3299999999999</v>
      </c>
      <c r="L47" s="178">
        <f>F47/2618.43*100</f>
        <v>76.92013916736366</v>
      </c>
      <c r="M47" s="35">
        <f>E47-березень!E42</f>
        <v>9.099999999999909</v>
      </c>
      <c r="N47" s="35">
        <f>F47-березень!F42</f>
        <v>14.199999999999818</v>
      </c>
      <c r="O47" s="47">
        <f t="shared" si="3"/>
        <v>5.099999999999909</v>
      </c>
      <c r="P47" s="50">
        <f t="shared" si="5"/>
        <v>156.0439560439556</v>
      </c>
      <c r="Q47" s="139"/>
      <c r="R47" s="140"/>
    </row>
    <row r="48" spans="1:18" s="6" customFormat="1" ht="47.25" customHeight="1" hidden="1">
      <c r="A48" s="8"/>
      <c r="B48" s="14" t="s">
        <v>66</v>
      </c>
      <c r="C48" s="83">
        <v>16040100</v>
      </c>
      <c r="D48" s="16"/>
      <c r="E48" s="16"/>
      <c r="F48" s="189"/>
      <c r="G48" s="43">
        <f>F48-E48</f>
        <v>0</v>
      </c>
      <c r="H48" s="35" t="e">
        <f>F48/E48*100</f>
        <v>#DIV/0!</v>
      </c>
      <c r="I48" s="50">
        <f>F48-D48</f>
        <v>0</v>
      </c>
      <c r="J48" s="50" t="e">
        <f>F48/D48*100</f>
        <v>#DIV/0!</v>
      </c>
      <c r="K48" s="50"/>
      <c r="L48" s="50"/>
      <c r="M48" s="35" t="e">
        <f>E48-#REF!</f>
        <v>#REF!</v>
      </c>
      <c r="N48" s="35" t="e">
        <f>F48-#REF!</f>
        <v>#REF!</v>
      </c>
      <c r="O48" s="47" t="e">
        <f t="shared" si="3"/>
        <v>#REF!</v>
      </c>
      <c r="P48" s="50" t="e">
        <f>N48/M48*100</f>
        <v>#REF!</v>
      </c>
      <c r="Q48" s="50"/>
      <c r="R48" s="126"/>
    </row>
    <row r="49" spans="1:18" s="6" customFormat="1" ht="31.5" hidden="1">
      <c r="A49" s="8"/>
      <c r="B49" s="38" t="s">
        <v>67</v>
      </c>
      <c r="C49" s="82">
        <v>16050000</v>
      </c>
      <c r="D49" s="16">
        <v>0</v>
      </c>
      <c r="E49" s="16"/>
      <c r="F49" s="193">
        <v>0</v>
      </c>
      <c r="G49" s="43">
        <f>F49-E49</f>
        <v>0</v>
      </c>
      <c r="H49" s="35" t="e">
        <f>F49/E49*100</f>
        <v>#DIV/0!</v>
      </c>
      <c r="I49" s="50">
        <f>F49-D49</f>
        <v>0</v>
      </c>
      <c r="J49" s="50" t="e">
        <f>F49/D49*100</f>
        <v>#DIV/0!</v>
      </c>
      <c r="K49" s="50"/>
      <c r="L49" s="50"/>
      <c r="M49" s="35" t="e">
        <f>E49-#REF!</f>
        <v>#REF!</v>
      </c>
      <c r="N49" s="35" t="e">
        <f>F49-#REF!</f>
        <v>#REF!</v>
      </c>
      <c r="O49" s="47" t="e">
        <f t="shared" si="3"/>
        <v>#REF!</v>
      </c>
      <c r="P49" s="50" t="e">
        <f>N49/M49*100</f>
        <v>#REF!</v>
      </c>
      <c r="Q49" s="50"/>
      <c r="R49" s="126"/>
    </row>
    <row r="50" spans="1:18" s="6" customFormat="1" ht="31.5" hidden="1">
      <c r="A50" s="8"/>
      <c r="B50" s="15" t="s">
        <v>68</v>
      </c>
      <c r="C50" s="83">
        <v>16050100</v>
      </c>
      <c r="D50" s="16">
        <v>4590</v>
      </c>
      <c r="E50" s="16"/>
      <c r="F50" s="189"/>
      <c r="G50" s="43">
        <f>F50-E50</f>
        <v>0</v>
      </c>
      <c r="H50" s="35" t="e">
        <f>F50/E50*100</f>
        <v>#DIV/0!</v>
      </c>
      <c r="I50" s="50">
        <f>F50-D50</f>
        <v>-4590</v>
      </c>
      <c r="J50" s="50">
        <f>F50/D50*100</f>
        <v>0</v>
      </c>
      <c r="K50" s="50"/>
      <c r="L50" s="50"/>
      <c r="M50" s="35" t="e">
        <f>E50-#REF!</f>
        <v>#REF!</v>
      </c>
      <c r="N50" s="35" t="e">
        <f>F50-#REF!</f>
        <v>#REF!</v>
      </c>
      <c r="O50" s="47" t="e">
        <f t="shared" si="3"/>
        <v>#REF!</v>
      </c>
      <c r="P50" s="50" t="e">
        <f>F50/M50*100</f>
        <v>#REF!</v>
      </c>
      <c r="Q50" s="50"/>
      <c r="R50" s="126"/>
    </row>
    <row r="51" spans="1:18" s="6" customFormat="1" ht="31.5" hidden="1">
      <c r="A51" s="8"/>
      <c r="B51" s="15" t="s">
        <v>69</v>
      </c>
      <c r="C51" s="83">
        <v>16050200</v>
      </c>
      <c r="D51" s="16">
        <v>4410</v>
      </c>
      <c r="E51" s="16"/>
      <c r="F51" s="189"/>
      <c r="G51" s="43">
        <f>F51-E51</f>
        <v>0</v>
      </c>
      <c r="H51" s="35" t="e">
        <f>F51/E51*100</f>
        <v>#DIV/0!</v>
      </c>
      <c r="I51" s="50">
        <f>F51-D51</f>
        <v>-4410</v>
      </c>
      <c r="J51" s="50">
        <f>F51/D51*100</f>
        <v>0</v>
      </c>
      <c r="K51" s="50"/>
      <c r="L51" s="50"/>
      <c r="M51" s="35" t="e">
        <f>E51-#REF!</f>
        <v>#REF!</v>
      </c>
      <c r="N51" s="35" t="e">
        <f>F51-#REF!</f>
        <v>#REF!</v>
      </c>
      <c r="O51" s="47" t="e">
        <f>N51-M51</f>
        <v>#REF!</v>
      </c>
      <c r="P51" s="50" t="e">
        <f>F51/M51*100</f>
        <v>#REF!</v>
      </c>
      <c r="Q51" s="50"/>
      <c r="R51" s="126"/>
    </row>
    <row r="52" spans="1:18" s="6" customFormat="1" ht="31.5" hidden="1">
      <c r="A52" s="7"/>
      <c r="B52" s="15" t="s">
        <v>67</v>
      </c>
      <c r="C52" s="83">
        <v>16050000</v>
      </c>
      <c r="D52" s="16"/>
      <c r="E52" s="16"/>
      <c r="F52" s="189">
        <v>0</v>
      </c>
      <c r="G52" s="43"/>
      <c r="H52" s="35"/>
      <c r="I52" s="50"/>
      <c r="J52" s="50"/>
      <c r="K52" s="50"/>
      <c r="L52" s="50"/>
      <c r="M52" s="35" t="e">
        <f>E52-#REF!</f>
        <v>#REF!</v>
      </c>
      <c r="N52" s="35" t="e">
        <f>F52-#REF!</f>
        <v>#REF!</v>
      </c>
      <c r="O52" s="47"/>
      <c r="P52" s="50"/>
      <c r="Q52" s="50"/>
      <c r="R52" s="126"/>
    </row>
    <row r="53" spans="1:18" s="6" customFormat="1" ht="18.75">
      <c r="A53" s="7"/>
      <c r="B53" s="19" t="s">
        <v>70</v>
      </c>
      <c r="C53" s="93">
        <v>20000000</v>
      </c>
      <c r="D53" s="18">
        <f>D56+D57+D58+D59+D60+D68+D69+D70+D72+D76+D67+D66</f>
        <v>12567.1</v>
      </c>
      <c r="E53" s="18">
        <f>E56+E57+E58+E59+E60+E68+E69+E70+E72+E76+E67+E66</f>
        <v>4088.5</v>
      </c>
      <c r="F53" s="187">
        <f>F56+F57+F58+F59+F60+F68+F69+F70+F72+F76+F67+F66</f>
        <v>10433.6</v>
      </c>
      <c r="G53" s="44">
        <f aca="true" t="shared" si="12" ref="G53:G78">F53-E53</f>
        <v>6345.1</v>
      </c>
      <c r="H53" s="45">
        <f>F53/E53*100</f>
        <v>255.19383637030697</v>
      </c>
      <c r="I53" s="31">
        <f aca="true" t="shared" si="13" ref="I53:I78">F53-D53</f>
        <v>-2133.5</v>
      </c>
      <c r="J53" s="31">
        <f aca="true" t="shared" si="14" ref="J53:J63">F53/D53*100</f>
        <v>83.02313182834544</v>
      </c>
      <c r="K53" s="18">
        <f>K56+K57+K58+K59+K60+K68+K69+K70+K72+K76+K67</f>
        <v>6245.78</v>
      </c>
      <c r="L53" s="18"/>
      <c r="M53" s="18">
        <f>M56+M57+M58+M59+M60+M68+M69+M70+M72+M76+M67+M66</f>
        <v>1052.5</v>
      </c>
      <c r="N53" s="18">
        <f>N56+N57+N58+N59+N60+N68+N69+N70+N72+N76+N67+N66</f>
        <v>2784.3199999999997</v>
      </c>
      <c r="O53" s="49">
        <f aca="true" t="shared" si="15" ref="O53:O78">N53-M53</f>
        <v>1731.8199999999997</v>
      </c>
      <c r="P53" s="31">
        <f>N53/M53*100</f>
        <v>264.5434679334917</v>
      </c>
      <c r="Q53" s="31">
        <f>N53-1017.63</f>
        <v>1766.6899999999996</v>
      </c>
      <c r="R53" s="127">
        <f>N53/1017.63</f>
        <v>2.736082859192437</v>
      </c>
    </row>
    <row r="54" spans="1:18" s="6" customFormat="1" ht="31.5" hidden="1">
      <c r="A54" s="8"/>
      <c r="B54" s="11" t="s">
        <v>71</v>
      </c>
      <c r="C54" s="81">
        <v>21000000</v>
      </c>
      <c r="D54" s="16" t="e">
        <f>D56+#REF!</f>
        <v>#REF!</v>
      </c>
      <c r="E54" s="16"/>
      <c r="F54" s="194" t="e">
        <f>SUM(F55:F56)+SUM(#REF!)</f>
        <v>#REF!</v>
      </c>
      <c r="G54" s="43" t="e">
        <f t="shared" si="12"/>
        <v>#REF!</v>
      </c>
      <c r="H54" s="35" t="e">
        <f>F54/E54*100</f>
        <v>#REF!</v>
      </c>
      <c r="I54" s="50" t="e">
        <f t="shared" si="13"/>
        <v>#REF!</v>
      </c>
      <c r="J54" s="50" t="e">
        <f t="shared" si="14"/>
        <v>#REF!</v>
      </c>
      <c r="K54" s="50"/>
      <c r="L54" s="50"/>
      <c r="M54" s="51" t="e">
        <f>SUM(M55:M56)+SUM(#REF!)</f>
        <v>#REF!</v>
      </c>
      <c r="N54" s="51" t="e">
        <f>SUM(N55:N56)+SUM(#REF!)</f>
        <v>#REF!</v>
      </c>
      <c r="O54" s="47" t="e">
        <f t="shared" si="15"/>
        <v>#REF!</v>
      </c>
      <c r="P54" s="50" t="e">
        <f>F54/M54*100</f>
        <v>#REF!</v>
      </c>
      <c r="Q54" s="50"/>
      <c r="R54" s="126"/>
    </row>
    <row r="55" spans="1:18" s="6" customFormat="1" ht="15.75" hidden="1">
      <c r="A55" s="8"/>
      <c r="B55" s="12" t="s">
        <v>72</v>
      </c>
      <c r="C55" s="82">
        <v>21030000</v>
      </c>
      <c r="D55" s="16" t="e">
        <f>#REF!*0.001</f>
        <v>#REF!</v>
      </c>
      <c r="E55" s="16"/>
      <c r="F55" s="195"/>
      <c r="G55" s="43">
        <f t="shared" si="12"/>
        <v>0</v>
      </c>
      <c r="H55" s="35" t="e">
        <f>F55/E55*100</f>
        <v>#DIV/0!</v>
      </c>
      <c r="I55" s="50" t="e">
        <f t="shared" si="13"/>
        <v>#REF!</v>
      </c>
      <c r="J55" s="50" t="e">
        <f t="shared" si="14"/>
        <v>#REF!</v>
      </c>
      <c r="K55" s="50"/>
      <c r="L55" s="50"/>
      <c r="M55" s="52"/>
      <c r="N55" s="52"/>
      <c r="O55" s="47">
        <f t="shared" si="15"/>
        <v>0</v>
      </c>
      <c r="P55" s="50" t="e">
        <f>F55/M55*100</f>
        <v>#DIV/0!</v>
      </c>
      <c r="Q55" s="50"/>
      <c r="R55" s="126"/>
    </row>
    <row r="56" spans="1:18" s="6" customFormat="1" ht="47.25">
      <c r="A56" s="8"/>
      <c r="B56" s="60" t="s">
        <v>106</v>
      </c>
      <c r="C56" s="59">
        <v>21010301</v>
      </c>
      <c r="D56" s="36">
        <v>200</v>
      </c>
      <c r="E56" s="36">
        <v>45</v>
      </c>
      <c r="F56" s="189">
        <v>83.98</v>
      </c>
      <c r="G56" s="43">
        <f t="shared" si="12"/>
        <v>38.980000000000004</v>
      </c>
      <c r="H56" s="35">
        <f>F56/E56*100</f>
        <v>186.62222222222223</v>
      </c>
      <c r="I56" s="50">
        <f t="shared" si="13"/>
        <v>-116.02</v>
      </c>
      <c r="J56" s="50">
        <f t="shared" si="14"/>
        <v>41.99</v>
      </c>
      <c r="K56" s="50">
        <f>F56-21.87</f>
        <v>62.11</v>
      </c>
      <c r="L56" s="50">
        <f>F56/21.87*100</f>
        <v>383.99634202103334</v>
      </c>
      <c r="M56" s="35">
        <f>E56-березень!E51</f>
        <v>10</v>
      </c>
      <c r="N56" s="35">
        <f>F56-березень!F51</f>
        <v>87.67</v>
      </c>
      <c r="O56" s="47">
        <f t="shared" si="15"/>
        <v>77.67</v>
      </c>
      <c r="P56" s="50">
        <f>N56/M56*100</f>
        <v>876.6999999999999</v>
      </c>
      <c r="Q56" s="50">
        <f>N56-0</f>
        <v>87.67</v>
      </c>
      <c r="R56" s="126" t="e">
        <f>N56/0</f>
        <v>#DIV/0!</v>
      </c>
    </row>
    <row r="57" spans="1:18" s="6" customFormat="1" ht="31.5" hidden="1">
      <c r="A57" s="8"/>
      <c r="B57" s="68" t="s">
        <v>214</v>
      </c>
      <c r="C57" s="57">
        <v>21050000</v>
      </c>
      <c r="D57" s="36">
        <v>0</v>
      </c>
      <c r="E57" s="36">
        <v>0</v>
      </c>
      <c r="F57" s="189">
        <v>0</v>
      </c>
      <c r="G57" s="43">
        <f t="shared" si="12"/>
        <v>0</v>
      </c>
      <c r="H57" s="35"/>
      <c r="I57" s="50">
        <f t="shared" si="13"/>
        <v>0</v>
      </c>
      <c r="J57" s="50"/>
      <c r="K57" s="50">
        <f>F57-0</f>
        <v>0</v>
      </c>
      <c r="L57" s="50" t="e">
        <f>F57/0*100</f>
        <v>#DIV/0!</v>
      </c>
      <c r="M57" s="35">
        <f>E57-березень!E60</f>
        <v>0</v>
      </c>
      <c r="N57" s="35">
        <f>F57-березень!F60</f>
        <v>0</v>
      </c>
      <c r="O57" s="47">
        <f t="shared" si="15"/>
        <v>0</v>
      </c>
      <c r="P57" s="50"/>
      <c r="Q57" s="50">
        <f>N57-0</f>
        <v>0</v>
      </c>
      <c r="R57" s="126" t="e">
        <f>N57/0</f>
        <v>#DIV/0!</v>
      </c>
    </row>
    <row r="58" spans="1:18" s="6" customFormat="1" ht="15.75">
      <c r="A58" s="8"/>
      <c r="B58" s="68" t="s">
        <v>169</v>
      </c>
      <c r="C58" s="57">
        <v>21080500</v>
      </c>
      <c r="D58" s="36"/>
      <c r="E58" s="36"/>
      <c r="F58" s="189">
        <v>18.24</v>
      </c>
      <c r="G58" s="43">
        <f t="shared" si="12"/>
        <v>18.24</v>
      </c>
      <c r="H58" s="35"/>
      <c r="I58" s="50">
        <f t="shared" si="13"/>
        <v>18.24</v>
      </c>
      <c r="J58" s="50"/>
      <c r="K58" s="50">
        <f>F58-212.16</f>
        <v>-193.92</v>
      </c>
      <c r="L58" s="50">
        <f>F58/212.16*100</f>
        <v>8.597285067873303</v>
      </c>
      <c r="M58" s="35">
        <f>E58-березень!E61</f>
        <v>0</v>
      </c>
      <c r="N58" s="35">
        <f>F58-березень!F61</f>
        <v>14.2</v>
      </c>
      <c r="O58" s="47">
        <f t="shared" si="15"/>
        <v>14.2</v>
      </c>
      <c r="P58" s="50"/>
      <c r="Q58" s="50">
        <f>N58-4.23</f>
        <v>9.969999999999999</v>
      </c>
      <c r="R58" s="126">
        <f>N58/4.23</f>
        <v>3.356973995271867</v>
      </c>
    </row>
    <row r="59" spans="1:18" s="6" customFormat="1" ht="31.5">
      <c r="A59" s="8"/>
      <c r="B59" s="30" t="s">
        <v>123</v>
      </c>
      <c r="C59" s="94">
        <v>21080900</v>
      </c>
      <c r="D59" s="36">
        <v>6.5</v>
      </c>
      <c r="E59" s="36">
        <v>1.5</v>
      </c>
      <c r="F59" s="189">
        <v>0</v>
      </c>
      <c r="G59" s="43">
        <f t="shared" si="12"/>
        <v>-1.5</v>
      </c>
      <c r="H59" s="35">
        <f>F59/E59*100</f>
        <v>0</v>
      </c>
      <c r="I59" s="50">
        <f t="shared" si="13"/>
        <v>-6.5</v>
      </c>
      <c r="J59" s="50">
        <f t="shared" si="14"/>
        <v>0</v>
      </c>
      <c r="K59" s="50">
        <f>F59-4.08</f>
        <v>-4.08</v>
      </c>
      <c r="L59" s="50">
        <f>F59/4.08*100</f>
        <v>0</v>
      </c>
      <c r="M59" s="35">
        <f>E59-березень!E62</f>
        <v>0.5</v>
      </c>
      <c r="N59" s="35">
        <f>F59-березень!F62</f>
        <v>0</v>
      </c>
      <c r="O59" s="47">
        <f t="shared" si="15"/>
        <v>-0.5</v>
      </c>
      <c r="P59" s="50">
        <f>N59/M59*100</f>
        <v>0</v>
      </c>
      <c r="Q59" s="50">
        <f>N59-0</f>
        <v>0</v>
      </c>
      <c r="R59" s="126"/>
    </row>
    <row r="60" spans="1:18" s="6" customFormat="1" ht="15.75">
      <c r="A60" s="8"/>
      <c r="B60" s="15" t="s">
        <v>90</v>
      </c>
      <c r="C60" s="95">
        <v>21081100</v>
      </c>
      <c r="D60" s="36">
        <v>140</v>
      </c>
      <c r="E60" s="36">
        <v>37</v>
      </c>
      <c r="F60" s="189">
        <v>41.25</v>
      </c>
      <c r="G60" s="43">
        <f t="shared" si="12"/>
        <v>4.25</v>
      </c>
      <c r="H60" s="35">
        <f>F60/E60*100</f>
        <v>111.48648648648648</v>
      </c>
      <c r="I60" s="50">
        <f t="shared" si="13"/>
        <v>-98.75</v>
      </c>
      <c r="J60" s="50">
        <v>10</v>
      </c>
      <c r="K60" s="50">
        <f>F60-34.44</f>
        <v>6.810000000000002</v>
      </c>
      <c r="L60" s="50">
        <f>F60/34.44*100</f>
        <v>119.77351916376307</v>
      </c>
      <c r="M60" s="35">
        <f>E60-березень!E63</f>
        <v>12</v>
      </c>
      <c r="N60" s="35">
        <f>F60-березень!F63</f>
        <v>10.489999999999998</v>
      </c>
      <c r="O60" s="47">
        <f t="shared" si="15"/>
        <v>-1.5100000000000016</v>
      </c>
      <c r="P60" s="50">
        <f>N60/M60*100</f>
        <v>87.41666666666666</v>
      </c>
      <c r="Q60" s="50">
        <f>N60-9.02</f>
        <v>1.4699999999999989</v>
      </c>
      <c r="R60" s="126">
        <f>N60/9.02</f>
        <v>1.162971175166297</v>
      </c>
    </row>
    <row r="61" spans="1:18" s="6" customFormat="1" ht="78.75" hidden="1">
      <c r="A61" s="8"/>
      <c r="B61" s="14" t="s">
        <v>91</v>
      </c>
      <c r="C61" s="59" t="s">
        <v>92</v>
      </c>
      <c r="D61" s="36">
        <v>0</v>
      </c>
      <c r="E61" s="36">
        <v>0</v>
      </c>
      <c r="F61" s="189">
        <v>0</v>
      </c>
      <c r="G61" s="43">
        <f t="shared" si="12"/>
        <v>0</v>
      </c>
      <c r="H61" s="35" t="e">
        <f>F61/E61*100</f>
        <v>#DIV/0!</v>
      </c>
      <c r="I61" s="50">
        <f t="shared" si="13"/>
        <v>0</v>
      </c>
      <c r="J61" s="50" t="e">
        <f t="shared" si="14"/>
        <v>#DIV/0!</v>
      </c>
      <c r="K61" s="50">
        <f>F61-19.41</f>
        <v>-19.41</v>
      </c>
      <c r="L61" s="50">
        <f>F61</f>
        <v>0</v>
      </c>
      <c r="M61" s="35">
        <f>E61-березень!E64</f>
        <v>0</v>
      </c>
      <c r="N61" s="35">
        <f>F61-березень!F64</f>
        <v>0</v>
      </c>
      <c r="O61" s="47">
        <f t="shared" si="15"/>
        <v>0</v>
      </c>
      <c r="P61" s="50" t="e">
        <f>N61/M61*100</f>
        <v>#DIV/0!</v>
      </c>
      <c r="Q61" s="50"/>
      <c r="R61" s="126"/>
    </row>
    <row r="62" spans="1:18" s="6" customFormat="1" ht="15.75" hidden="1">
      <c r="A62" s="8"/>
      <c r="B62" s="14" t="s">
        <v>90</v>
      </c>
      <c r="C62" s="59" t="s">
        <v>93</v>
      </c>
      <c r="D62" s="36">
        <v>0</v>
      </c>
      <c r="E62" s="36">
        <v>0</v>
      </c>
      <c r="F62" s="189">
        <v>0</v>
      </c>
      <c r="G62" s="43">
        <f t="shared" si="12"/>
        <v>0</v>
      </c>
      <c r="H62" s="35" t="e">
        <f>F62/E62*100</f>
        <v>#DIV/0!</v>
      </c>
      <c r="I62" s="50">
        <f t="shared" si="13"/>
        <v>0</v>
      </c>
      <c r="J62" s="50" t="e">
        <f t="shared" si="14"/>
        <v>#DIV/0!</v>
      </c>
      <c r="K62" s="50">
        <f>F62-19.41</f>
        <v>-19.41</v>
      </c>
      <c r="L62" s="50">
        <f>F62</f>
        <v>0</v>
      </c>
      <c r="M62" s="35">
        <f>E62-березень!E65</f>
        <v>0</v>
      </c>
      <c r="N62" s="35">
        <f>F62-березень!F65</f>
        <v>0</v>
      </c>
      <c r="O62" s="47">
        <f t="shared" si="15"/>
        <v>0</v>
      </c>
      <c r="P62" s="50" t="e">
        <f>N62/M62*100</f>
        <v>#DIV/0!</v>
      </c>
      <c r="Q62" s="50"/>
      <c r="R62" s="126"/>
    </row>
    <row r="63" spans="1:18" s="6" customFormat="1" ht="15.75" hidden="1">
      <c r="A63" s="8"/>
      <c r="B63" s="11" t="s">
        <v>94</v>
      </c>
      <c r="C63" s="57" t="s">
        <v>95</v>
      </c>
      <c r="D63" s="36">
        <v>0</v>
      </c>
      <c r="E63" s="36">
        <v>0</v>
      </c>
      <c r="F63" s="189">
        <v>0</v>
      </c>
      <c r="G63" s="43">
        <f t="shared" si="12"/>
        <v>0</v>
      </c>
      <c r="H63" s="35" t="e">
        <f>F63/E63*100</f>
        <v>#DIV/0!</v>
      </c>
      <c r="I63" s="50">
        <f t="shared" si="13"/>
        <v>0</v>
      </c>
      <c r="J63" s="50" t="e">
        <f t="shared" si="14"/>
        <v>#DIV/0!</v>
      </c>
      <c r="K63" s="50">
        <f>F63-19.41</f>
        <v>-19.41</v>
      </c>
      <c r="L63" s="50">
        <f>F63</f>
        <v>0</v>
      </c>
      <c r="M63" s="35">
        <f>E63-березень!E66</f>
        <v>0</v>
      </c>
      <c r="N63" s="35">
        <f>F63-березень!F66</f>
        <v>0</v>
      </c>
      <c r="O63" s="47">
        <f t="shared" si="15"/>
        <v>0</v>
      </c>
      <c r="P63" s="50" t="e">
        <f>N63/M63*100</f>
        <v>#DIV/0!</v>
      </c>
      <c r="Q63" s="50"/>
      <c r="R63" s="126"/>
    </row>
    <row r="64" spans="1:18" s="6" customFormat="1" ht="31.5" hidden="1">
      <c r="A64" s="8"/>
      <c r="B64" s="60" t="s">
        <v>126</v>
      </c>
      <c r="C64" s="57"/>
      <c r="D64" s="36">
        <v>0</v>
      </c>
      <c r="E64" s="36">
        <v>0</v>
      </c>
      <c r="F64" s="189">
        <v>0</v>
      </c>
      <c r="G64" s="43">
        <f t="shared" si="12"/>
        <v>0</v>
      </c>
      <c r="H64" s="35"/>
      <c r="I64" s="50">
        <f t="shared" si="13"/>
        <v>0</v>
      </c>
      <c r="J64" s="50"/>
      <c r="K64" s="50">
        <f>F64-19.41</f>
        <v>-19.41</v>
      </c>
      <c r="L64" s="50">
        <f>F64</f>
        <v>0</v>
      </c>
      <c r="M64" s="35">
        <f>E64-березень!E67</f>
        <v>0</v>
      </c>
      <c r="N64" s="35">
        <f>F64-березень!F67</f>
        <v>0</v>
      </c>
      <c r="O64" s="47">
        <f t="shared" si="15"/>
        <v>0</v>
      </c>
      <c r="P64" s="50"/>
      <c r="Q64" s="50"/>
      <c r="R64" s="126"/>
    </row>
    <row r="65" spans="1:18" s="6" customFormat="1" ht="47.25" hidden="1">
      <c r="A65" s="8"/>
      <c r="B65" s="41" t="s">
        <v>137</v>
      </c>
      <c r="C65" s="96">
        <v>22010900</v>
      </c>
      <c r="D65" s="36">
        <v>0</v>
      </c>
      <c r="E65" s="36">
        <v>0</v>
      </c>
      <c r="F65" s="189">
        <v>0</v>
      </c>
      <c r="G65" s="43">
        <f t="shared" si="12"/>
        <v>0</v>
      </c>
      <c r="H65" s="35"/>
      <c r="I65" s="50">
        <f t="shared" si="13"/>
        <v>0</v>
      </c>
      <c r="J65" s="50"/>
      <c r="K65" s="50">
        <f>F65-19.41</f>
        <v>-19.41</v>
      </c>
      <c r="L65" s="50">
        <f>F65</f>
        <v>0</v>
      </c>
      <c r="M65" s="35">
        <f>E65-березень!E68</f>
        <v>0</v>
      </c>
      <c r="N65" s="35">
        <f>F65-березень!F68</f>
        <v>0</v>
      </c>
      <c r="O65" s="47">
        <f t="shared" si="15"/>
        <v>0</v>
      </c>
      <c r="P65" s="50"/>
      <c r="Q65" s="50"/>
      <c r="R65" s="126"/>
    </row>
    <row r="66" spans="1:18" s="6" customFormat="1" ht="47.25">
      <c r="A66" s="8"/>
      <c r="B66" s="15" t="s">
        <v>225</v>
      </c>
      <c r="C66" s="67">
        <v>21081500</v>
      </c>
      <c r="D66" s="36">
        <v>0</v>
      </c>
      <c r="E66" s="36">
        <v>0</v>
      </c>
      <c r="F66" s="189">
        <v>1.5</v>
      </c>
      <c r="G66" s="43"/>
      <c r="H66" s="35"/>
      <c r="I66" s="50">
        <f>F66-D66</f>
        <v>1.5</v>
      </c>
      <c r="J66" s="50"/>
      <c r="K66" s="50">
        <f>F66-0</f>
        <v>1.5</v>
      </c>
      <c r="L66" s="50"/>
      <c r="M66" s="35">
        <f>E66-березень!E69</f>
        <v>0</v>
      </c>
      <c r="N66" s="35">
        <f>F66-березень!F69</f>
        <v>0.5</v>
      </c>
      <c r="O66" s="47"/>
      <c r="P66" s="50"/>
      <c r="Q66" s="50"/>
      <c r="R66" s="126"/>
    </row>
    <row r="67" spans="1:18" s="6" customFormat="1" ht="15.75">
      <c r="A67" s="8"/>
      <c r="B67" s="41" t="s">
        <v>222</v>
      </c>
      <c r="C67" s="95">
        <v>22012500</v>
      </c>
      <c r="D67" s="36">
        <v>0</v>
      </c>
      <c r="E67" s="36">
        <v>0</v>
      </c>
      <c r="F67" s="189">
        <v>3348.03</v>
      </c>
      <c r="G67" s="43"/>
      <c r="H67" s="35"/>
      <c r="I67" s="50">
        <f t="shared" si="13"/>
        <v>3348.03</v>
      </c>
      <c r="J67" s="50"/>
      <c r="K67" s="50">
        <f>F67-0</f>
        <v>3348.03</v>
      </c>
      <c r="L67" s="50"/>
      <c r="M67" s="35">
        <f>E67-березень!E70</f>
        <v>0</v>
      </c>
      <c r="N67" s="35">
        <f>F67-березень!F70</f>
        <v>819.4500000000003</v>
      </c>
      <c r="O67" s="47"/>
      <c r="P67" s="50"/>
      <c r="Q67" s="50"/>
      <c r="R67" s="126"/>
    </row>
    <row r="68" spans="1:18" s="6" customFormat="1" ht="31.5">
      <c r="A68" s="8"/>
      <c r="B68" s="15" t="s">
        <v>78</v>
      </c>
      <c r="C68" s="67">
        <v>22080401</v>
      </c>
      <c r="D68" s="36">
        <v>6900</v>
      </c>
      <c r="E68" s="36">
        <v>2420</v>
      </c>
      <c r="F68" s="189">
        <v>2673.74</v>
      </c>
      <c r="G68" s="43">
        <f t="shared" si="12"/>
        <v>253.73999999999978</v>
      </c>
      <c r="H68" s="35">
        <f>F68/E68*100</f>
        <v>110.48512396694214</v>
      </c>
      <c r="I68" s="50">
        <f t="shared" si="13"/>
        <v>-4226.26</v>
      </c>
      <c r="J68" s="50">
        <v>550</v>
      </c>
      <c r="K68" s="50">
        <f>F68-2382.53</f>
        <v>291.2099999999996</v>
      </c>
      <c r="L68" s="50">
        <f>F68/2382.53*100</f>
        <v>112.22272122491634</v>
      </c>
      <c r="M68" s="35">
        <f>E68-березень!E71</f>
        <v>630</v>
      </c>
      <c r="N68" s="35">
        <f>F68-березень!F71</f>
        <v>727.5999999999997</v>
      </c>
      <c r="O68" s="47">
        <f t="shared" si="15"/>
        <v>97.59999999999968</v>
      </c>
      <c r="P68" s="50">
        <f>N68/M68*100</f>
        <v>115.49206349206345</v>
      </c>
      <c r="Q68" s="50">
        <f>N68-647.49</f>
        <v>80.10999999999967</v>
      </c>
      <c r="R68" s="126">
        <f>N68/647.49</f>
        <v>1.1237239185161156</v>
      </c>
    </row>
    <row r="69" spans="1:18" s="6" customFormat="1" ht="15.75">
      <c r="A69" s="8"/>
      <c r="B69" s="15" t="s">
        <v>80</v>
      </c>
      <c r="C69" s="59">
        <v>22090000</v>
      </c>
      <c r="D69" s="36">
        <v>1100</v>
      </c>
      <c r="E69" s="36">
        <v>310</v>
      </c>
      <c r="F69" s="189">
        <v>2831.1</v>
      </c>
      <c r="G69" s="43">
        <f t="shared" si="12"/>
        <v>2521.1</v>
      </c>
      <c r="H69" s="35">
        <f>F69/E69*100</f>
        <v>913.258064516129</v>
      </c>
      <c r="I69" s="50">
        <f t="shared" si="13"/>
        <v>1731.1</v>
      </c>
      <c r="J69" s="50">
        <v>90</v>
      </c>
      <c r="K69" s="50">
        <f>F69-279.59</f>
        <v>2551.5099999999998</v>
      </c>
      <c r="L69" s="50">
        <f>F69/279.59*100</f>
        <v>1012.5898637290318</v>
      </c>
      <c r="M69" s="35">
        <f>E69-березень!E72</f>
        <v>80</v>
      </c>
      <c r="N69" s="35">
        <f>F69-березень!F72</f>
        <v>649.1199999999999</v>
      </c>
      <c r="O69" s="47">
        <f t="shared" si="15"/>
        <v>569.1199999999999</v>
      </c>
      <c r="P69" s="50">
        <f>N69/M69*100</f>
        <v>811.3999999999999</v>
      </c>
      <c r="Q69" s="50">
        <f>N69-79.51</f>
        <v>569.6099999999999</v>
      </c>
      <c r="R69" s="126">
        <f>N69/79.51</f>
        <v>8.16400452773236</v>
      </c>
    </row>
    <row r="70" spans="1:18" s="6" customFormat="1" ht="47.25">
      <c r="A70" s="8"/>
      <c r="B70" s="15" t="s">
        <v>96</v>
      </c>
      <c r="C70" s="13" t="s">
        <v>97</v>
      </c>
      <c r="D70" s="36">
        <v>7.6</v>
      </c>
      <c r="E70" s="36">
        <v>0</v>
      </c>
      <c r="F70" s="189">
        <v>0</v>
      </c>
      <c r="G70" s="43">
        <f t="shared" si="12"/>
        <v>0</v>
      </c>
      <c r="H70" s="35"/>
      <c r="I70" s="50">
        <f t="shared" si="13"/>
        <v>-7.6</v>
      </c>
      <c r="J70" s="50"/>
      <c r="K70" s="50">
        <f>F70-0</f>
        <v>0</v>
      </c>
      <c r="L70" s="50"/>
      <c r="M70" s="35">
        <f>E70-березень!E73</f>
        <v>0</v>
      </c>
      <c r="N70" s="35">
        <f>F70-березень!F73</f>
        <v>0</v>
      </c>
      <c r="O70" s="47">
        <f t="shared" si="15"/>
        <v>0</v>
      </c>
      <c r="P70" s="50"/>
      <c r="Q70" s="50">
        <f>N70-0</f>
        <v>0</v>
      </c>
      <c r="R70" s="126"/>
    </row>
    <row r="71" spans="1:18" s="6" customFormat="1" ht="15.75" hidden="1">
      <c r="A71" s="8"/>
      <c r="B71" s="12" t="s">
        <v>73</v>
      </c>
      <c r="C71" s="59" t="s">
        <v>98</v>
      </c>
      <c r="D71" s="36">
        <v>0</v>
      </c>
      <c r="E71" s="36">
        <v>0</v>
      </c>
      <c r="F71" s="189">
        <v>0</v>
      </c>
      <c r="G71" s="43">
        <f t="shared" si="12"/>
        <v>0</v>
      </c>
      <c r="H71" s="35" t="e">
        <f>F71/E71*100</f>
        <v>#DIV/0!</v>
      </c>
      <c r="I71" s="50">
        <f t="shared" si="13"/>
        <v>0</v>
      </c>
      <c r="J71" s="50" t="e">
        <f>F71/D71*100</f>
        <v>#DIV/0!</v>
      </c>
      <c r="K71" s="50"/>
      <c r="L71" s="50">
        <f>F71</f>
        <v>0</v>
      </c>
      <c r="M71" s="35">
        <f>E71-березень!E74</f>
        <v>0</v>
      </c>
      <c r="N71" s="35">
        <f>F71-березень!F74</f>
        <v>0</v>
      </c>
      <c r="O71" s="47">
        <f t="shared" si="15"/>
        <v>0</v>
      </c>
      <c r="P71" s="50" t="e">
        <f aca="true" t="shared" si="16" ref="P71:P77">N71/M71*100</f>
        <v>#DIV/0!</v>
      </c>
      <c r="Q71" s="50"/>
      <c r="R71" s="126"/>
    </row>
    <row r="72" spans="1:18" s="6" customFormat="1" ht="15.75" customHeight="1">
      <c r="A72" s="8"/>
      <c r="B72" s="14" t="s">
        <v>73</v>
      </c>
      <c r="C72" s="13" t="s">
        <v>99</v>
      </c>
      <c r="D72" s="36">
        <v>4200</v>
      </c>
      <c r="E72" s="36">
        <v>1270</v>
      </c>
      <c r="F72" s="189">
        <v>1435.76</v>
      </c>
      <c r="G72" s="43">
        <f t="shared" si="12"/>
        <v>165.76</v>
      </c>
      <c r="H72" s="35">
        <f>F72/E72*100</f>
        <v>113.05196850393702</v>
      </c>
      <c r="I72" s="50">
        <f t="shared" si="13"/>
        <v>-2764.24</v>
      </c>
      <c r="J72" s="50">
        <f>F72/D72*100</f>
        <v>34.184761904761906</v>
      </c>
      <c r="K72" s="50">
        <f>F72-1238.46</f>
        <v>197.29999999999995</v>
      </c>
      <c r="L72" s="50">
        <f>F72/1238.46*100</f>
        <v>115.93107569077725</v>
      </c>
      <c r="M72" s="35">
        <f>E72-березень!E75</f>
        <v>320</v>
      </c>
      <c r="N72" s="35">
        <f>F72-березень!F75</f>
        <v>475.28999999999996</v>
      </c>
      <c r="O72" s="47">
        <f t="shared" si="15"/>
        <v>155.28999999999996</v>
      </c>
      <c r="P72" s="50">
        <f t="shared" si="16"/>
        <v>148.528125</v>
      </c>
      <c r="Q72" s="50">
        <f>N72-277.38</f>
        <v>197.90999999999997</v>
      </c>
      <c r="R72" s="126">
        <f>N72/277.38</f>
        <v>1.7134977287475663</v>
      </c>
    </row>
    <row r="73" spans="1:18" s="6" customFormat="1" ht="31.5" customHeight="1" hidden="1">
      <c r="A73" s="8"/>
      <c r="B73" s="14" t="s">
        <v>100</v>
      </c>
      <c r="C73" s="83" t="s">
        <v>101</v>
      </c>
      <c r="D73" s="36">
        <v>0</v>
      </c>
      <c r="E73" s="36">
        <v>0</v>
      </c>
      <c r="F73" s="189">
        <v>0</v>
      </c>
      <c r="G73" s="43">
        <f t="shared" si="12"/>
        <v>0</v>
      </c>
      <c r="H73" s="35" t="e">
        <f>F73/E73*100</f>
        <v>#DIV/0!</v>
      </c>
      <c r="I73" s="50">
        <f t="shared" si="13"/>
        <v>0</v>
      </c>
      <c r="J73" s="50" t="e">
        <f>F73/D73*100</f>
        <v>#DIV/0!</v>
      </c>
      <c r="K73" s="50"/>
      <c r="L73" s="50">
        <f>F73</f>
        <v>0</v>
      </c>
      <c r="M73" s="35">
        <f>E73-березень!E76</f>
        <v>0</v>
      </c>
      <c r="N73" s="35">
        <f>F73-березень!F76</f>
        <v>0</v>
      </c>
      <c r="O73" s="47">
        <f t="shared" si="15"/>
        <v>0</v>
      </c>
      <c r="P73" s="50" t="e">
        <f t="shared" si="16"/>
        <v>#DIV/0!</v>
      </c>
      <c r="Q73" s="50"/>
      <c r="R73" s="126">
        <f>N73/277.38</f>
        <v>0</v>
      </c>
    </row>
    <row r="74" spans="1:18" s="6" customFormat="1" ht="15.75" hidden="1">
      <c r="A74" s="8"/>
      <c r="B74" s="14" t="s">
        <v>102</v>
      </c>
      <c r="C74" s="83" t="s">
        <v>103</v>
      </c>
      <c r="D74" s="36">
        <v>0</v>
      </c>
      <c r="E74" s="36">
        <v>0</v>
      </c>
      <c r="F74" s="189">
        <v>0</v>
      </c>
      <c r="G74" s="43">
        <f t="shared" si="12"/>
        <v>0</v>
      </c>
      <c r="H74" s="35" t="e">
        <f>F74/E74*100</f>
        <v>#DIV/0!</v>
      </c>
      <c r="I74" s="50">
        <f t="shared" si="13"/>
        <v>0</v>
      </c>
      <c r="J74" s="50" t="e">
        <f>F74/D74*100</f>
        <v>#DIV/0!</v>
      </c>
      <c r="K74" s="50"/>
      <c r="L74" s="50">
        <f>F74</f>
        <v>0</v>
      </c>
      <c r="M74" s="35">
        <f>E74-березень!E77</f>
        <v>0</v>
      </c>
      <c r="N74" s="35">
        <f>F74-березень!F77</f>
        <v>0</v>
      </c>
      <c r="O74" s="47">
        <f t="shared" si="15"/>
        <v>0</v>
      </c>
      <c r="P74" s="50" t="e">
        <f t="shared" si="16"/>
        <v>#DIV/0!</v>
      </c>
      <c r="Q74" s="50"/>
      <c r="R74" s="126">
        <f>N74/277.38</f>
        <v>0</v>
      </c>
    </row>
    <row r="75" spans="1:18" s="6" customFormat="1" ht="31.5">
      <c r="A75" s="8"/>
      <c r="B75" s="69" t="s">
        <v>127</v>
      </c>
      <c r="C75" s="83"/>
      <c r="D75" s="135"/>
      <c r="E75" s="135"/>
      <c r="F75" s="190">
        <v>315.7</v>
      </c>
      <c r="G75" s="135">
        <f t="shared" si="12"/>
        <v>315.7</v>
      </c>
      <c r="H75" s="137"/>
      <c r="I75" s="136">
        <f t="shared" si="13"/>
        <v>315.7</v>
      </c>
      <c r="J75" s="136"/>
      <c r="K75" s="136">
        <f>F75-234.45</f>
        <v>81.25</v>
      </c>
      <c r="L75" s="138">
        <f>F75/234.45*100</f>
        <v>134.6555768820644</v>
      </c>
      <c r="M75" s="35">
        <f>E75-березень!E78</f>
        <v>0</v>
      </c>
      <c r="N75" s="35">
        <f>F75-березень!F78</f>
        <v>76.1</v>
      </c>
      <c r="O75" s="138">
        <f t="shared" si="15"/>
        <v>76.1</v>
      </c>
      <c r="P75" s="136"/>
      <c r="Q75" s="50">
        <f>N75-64.93</f>
        <v>11.169999999999987</v>
      </c>
      <c r="R75" s="126">
        <f>N75/64.93</f>
        <v>1.1720314184506389</v>
      </c>
    </row>
    <row r="76" spans="1:18" s="6" customFormat="1" ht="44.25" customHeight="1">
      <c r="A76" s="8"/>
      <c r="B76" s="14" t="s">
        <v>128</v>
      </c>
      <c r="C76" s="59">
        <v>24061900</v>
      </c>
      <c r="D76" s="36">
        <v>13</v>
      </c>
      <c r="E76" s="36">
        <v>5</v>
      </c>
      <c r="F76" s="189">
        <v>0</v>
      </c>
      <c r="G76" s="43">
        <f t="shared" si="12"/>
        <v>-5</v>
      </c>
      <c r="H76" s="35"/>
      <c r="I76" s="50">
        <f t="shared" si="13"/>
        <v>-13</v>
      </c>
      <c r="J76" s="50"/>
      <c r="K76" s="50">
        <f>F76-13.19</f>
        <v>-13.19</v>
      </c>
      <c r="L76" s="50">
        <f>F76/13.19*100</f>
        <v>0</v>
      </c>
      <c r="M76" s="35">
        <f>E76-березень!E79</f>
        <v>0</v>
      </c>
      <c r="N76" s="35">
        <f>F76-березень!F79</f>
        <v>0</v>
      </c>
      <c r="O76" s="47">
        <f t="shared" si="15"/>
        <v>0</v>
      </c>
      <c r="P76" s="50"/>
      <c r="Q76" s="50"/>
      <c r="R76" s="126"/>
    </row>
    <row r="77" spans="1:18" s="6" customFormat="1" ht="31.5">
      <c r="A77" s="8"/>
      <c r="B77" s="14" t="s">
        <v>129</v>
      </c>
      <c r="C77" s="59">
        <v>31010200</v>
      </c>
      <c r="D77" s="36">
        <v>26.5</v>
      </c>
      <c r="E77" s="36">
        <v>8.4</v>
      </c>
      <c r="F77" s="189">
        <v>6.52</v>
      </c>
      <c r="G77" s="43">
        <f t="shared" si="12"/>
        <v>-1.8800000000000008</v>
      </c>
      <c r="H77" s="35">
        <f>F77/E77*100</f>
        <v>77.6190476190476</v>
      </c>
      <c r="I77" s="50">
        <f t="shared" si="13"/>
        <v>-19.98</v>
      </c>
      <c r="J77" s="50">
        <f>F77/D77*100</f>
        <v>24.603773584905657</v>
      </c>
      <c r="K77" s="50">
        <f>F77-9.01</f>
        <v>-2.49</v>
      </c>
      <c r="L77" s="50">
        <f>F77/9.01*100</f>
        <v>72.36403995560488</v>
      </c>
      <c r="M77" s="35">
        <f>E77-березень!E80</f>
        <v>2.2</v>
      </c>
      <c r="N77" s="35">
        <f>F77-березень!F80</f>
        <v>0.41999999999999993</v>
      </c>
      <c r="O77" s="47">
        <f t="shared" si="15"/>
        <v>-1.7800000000000002</v>
      </c>
      <c r="P77" s="50">
        <f t="shared" si="16"/>
        <v>19.090909090909086</v>
      </c>
      <c r="Q77" s="50"/>
      <c r="R77" s="126"/>
    </row>
    <row r="78" spans="1:18" s="6" customFormat="1" ht="31.5">
      <c r="A78" s="8"/>
      <c r="B78" s="14" t="s">
        <v>165</v>
      </c>
      <c r="C78" s="59">
        <v>31020000</v>
      </c>
      <c r="D78" s="36">
        <v>0</v>
      </c>
      <c r="E78" s="36">
        <v>0</v>
      </c>
      <c r="F78" s="189">
        <v>0.02</v>
      </c>
      <c r="G78" s="43">
        <f t="shared" si="12"/>
        <v>0.02</v>
      </c>
      <c r="H78" s="35"/>
      <c r="I78" s="50">
        <f t="shared" si="13"/>
        <v>0.02</v>
      </c>
      <c r="J78" s="50"/>
      <c r="K78" s="50">
        <f>F78-0.04</f>
        <v>-0.02</v>
      </c>
      <c r="L78" s="50"/>
      <c r="M78" s="35">
        <f>E78-березень!E81</f>
        <v>0</v>
      </c>
      <c r="N78" s="35">
        <f>F78-березень!F81</f>
        <v>0</v>
      </c>
      <c r="O78" s="47">
        <f t="shared" si="15"/>
        <v>0</v>
      </c>
      <c r="P78" s="50"/>
      <c r="Q78" s="50"/>
      <c r="R78" s="126"/>
    </row>
    <row r="79" spans="1:22" s="6" customFormat="1" ht="18.75">
      <c r="A79" s="9"/>
      <c r="B79" s="17" t="s">
        <v>109</v>
      </c>
      <c r="C79" s="84"/>
      <c r="D79" s="18">
        <f>D8+D53+D77+D78</f>
        <v>530022.6</v>
      </c>
      <c r="E79" s="18">
        <f>E8+E53+E77+E78</f>
        <v>181491.83</v>
      </c>
      <c r="F79" s="187">
        <f>F8+F53+F77+F78</f>
        <v>208977.28999999998</v>
      </c>
      <c r="G79" s="44">
        <f>F79-E79</f>
        <v>27485.459999999992</v>
      </c>
      <c r="H79" s="45">
        <f>F79/E79*100</f>
        <v>115.14418582919133</v>
      </c>
      <c r="I79" s="31">
        <f>F79-D79</f>
        <v>-321045.31</v>
      </c>
      <c r="J79" s="31">
        <f>F79/D79*100</f>
        <v>39.42799608922336</v>
      </c>
      <c r="K79" s="31">
        <f>K8+K53+K77+K78</f>
        <v>53135.350000000006</v>
      </c>
      <c r="L79" s="31"/>
      <c r="M79" s="18">
        <f>M8+M53+M77+M78</f>
        <v>42791.049999999996</v>
      </c>
      <c r="N79" s="18">
        <f>N8+N53+N77+N78</f>
        <v>61839.10999999999</v>
      </c>
      <c r="O79" s="49">
        <f>N79-M79</f>
        <v>19048.059999999998</v>
      </c>
      <c r="P79" s="31">
        <f>N79/M79*100</f>
        <v>144.51412152774938</v>
      </c>
      <c r="Q79" s="31">
        <f>N79-34768</f>
        <v>27071.109999999993</v>
      </c>
      <c r="R79" s="171">
        <f>N79/34768</f>
        <v>1.7786214335020707</v>
      </c>
      <c r="S79" s="172"/>
      <c r="T79" s="166"/>
      <c r="U79" s="175"/>
      <c r="V79" s="175"/>
    </row>
    <row r="80" spans="1:18" s="66" customFormat="1" ht="18.75" hidden="1">
      <c r="A80" s="62"/>
      <c r="B80" s="75" t="s">
        <v>150</v>
      </c>
      <c r="C80" s="85"/>
      <c r="D80" s="64">
        <v>0</v>
      </c>
      <c r="E80" s="112">
        <v>0</v>
      </c>
      <c r="F80" s="196">
        <v>0</v>
      </c>
      <c r="G80" s="102">
        <f>F80-E80</f>
        <v>0</v>
      </c>
      <c r="H80" s="65" t="e">
        <f>F80/E80*100</f>
        <v>#DIV/0!</v>
      </c>
      <c r="I80" s="74">
        <f>F80-D80</f>
        <v>0</v>
      </c>
      <c r="J80" s="46" t="e">
        <f>F80/D80*100</f>
        <v>#DIV/0!</v>
      </c>
      <c r="K80" s="46"/>
      <c r="L80" s="46"/>
      <c r="M80" s="113">
        <f>E80</f>
        <v>0</v>
      </c>
      <c r="N80" s="64"/>
      <c r="O80" s="109">
        <f>N80-M80</f>
        <v>0</v>
      </c>
      <c r="P80" s="46" t="e">
        <f>N80/M80*100</f>
        <v>#DIV/0!</v>
      </c>
      <c r="Q80" s="46"/>
      <c r="R80" s="128"/>
    </row>
    <row r="81" spans="1:18" s="66" customFormat="1" ht="18.75" hidden="1">
      <c r="A81" s="62"/>
      <c r="B81" s="76" t="s">
        <v>152</v>
      </c>
      <c r="C81" s="85"/>
      <c r="D81" s="77">
        <v>1171.6179</v>
      </c>
      <c r="E81" s="64">
        <v>1171.6179</v>
      </c>
      <c r="F81" s="196">
        <f>'[2]січень'!$C$27/1000</f>
        <v>0</v>
      </c>
      <c r="G81" s="55">
        <f>F81-E81</f>
        <v>-1171.6179</v>
      </c>
      <c r="H81" s="65"/>
      <c r="I81" s="78">
        <f>F81-D81</f>
        <v>-1171.6179</v>
      </c>
      <c r="J81" s="46"/>
      <c r="K81" s="46"/>
      <c r="L81" s="46"/>
      <c r="M81" s="35">
        <f>E81</f>
        <v>1171.6179</v>
      </c>
      <c r="N81" s="64">
        <f>F81</f>
        <v>0</v>
      </c>
      <c r="O81" s="79">
        <f>N81-M81</f>
        <v>-1171.6179</v>
      </c>
      <c r="P81" s="46">
        <f>N81/M81*100</f>
        <v>0</v>
      </c>
      <c r="Q81" s="46"/>
      <c r="R81" s="128"/>
    </row>
    <row r="82" spans="1:18" s="66" customFormat="1" ht="37.5" hidden="1">
      <c r="A82" s="62"/>
      <c r="B82" s="76" t="s">
        <v>177</v>
      </c>
      <c r="C82" s="85"/>
      <c r="D82" s="77"/>
      <c r="E82" s="43">
        <v>0</v>
      </c>
      <c r="F82" s="197">
        <v>0</v>
      </c>
      <c r="G82" s="55">
        <f>F82-E82</f>
        <v>0</v>
      </c>
      <c r="H82" s="65"/>
      <c r="I82" s="78"/>
      <c r="J82" s="46"/>
      <c r="K82" s="46"/>
      <c r="L82" s="46"/>
      <c r="M82" s="35">
        <v>0</v>
      </c>
      <c r="N82" s="77">
        <v>0</v>
      </c>
      <c r="O82" s="109">
        <f>N82-M82</f>
        <v>0</v>
      </c>
      <c r="P82" s="46"/>
      <c r="Q82" s="46"/>
      <c r="R82" s="128"/>
    </row>
    <row r="83" spans="2:18" ht="15.75">
      <c r="B83" s="25" t="s">
        <v>110</v>
      </c>
      <c r="C83" s="86"/>
      <c r="D83" s="28"/>
      <c r="E83" s="28"/>
      <c r="F83" s="198"/>
      <c r="G83" s="43"/>
      <c r="H83" s="35"/>
      <c r="I83" s="53"/>
      <c r="J83" s="53"/>
      <c r="K83" s="53"/>
      <c r="L83" s="53"/>
      <c r="M83" s="36"/>
      <c r="N83" s="36"/>
      <c r="O83" s="47"/>
      <c r="P83" s="53"/>
      <c r="Q83" s="53"/>
      <c r="R83" s="129"/>
    </row>
    <row r="84" spans="2:18" ht="15.75">
      <c r="B84" s="182" t="s">
        <v>248</v>
      </c>
      <c r="C84" s="86">
        <v>12020100</v>
      </c>
      <c r="D84" s="28"/>
      <c r="E84" s="28"/>
      <c r="F84" s="198">
        <v>8.75</v>
      </c>
      <c r="G84" s="43"/>
      <c r="H84" s="35"/>
      <c r="I84" s="53"/>
      <c r="J84" s="53"/>
      <c r="K84" s="53"/>
      <c r="L84" s="53"/>
      <c r="M84" s="36"/>
      <c r="N84" s="36">
        <f>F84</f>
        <v>8.75</v>
      </c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98">
        <v>-14.65</v>
      </c>
      <c r="G85" s="43">
        <f aca="true" t="shared" si="17" ref="G85:G93">F85-E85</f>
        <v>-14.65</v>
      </c>
      <c r="H85" s="35"/>
      <c r="I85" s="53">
        <f aca="true" t="shared" si="18" ref="I85:I92">F85-D85</f>
        <v>-14.65</v>
      </c>
      <c r="J85" s="53"/>
      <c r="K85" s="47">
        <f>F85-96.53</f>
        <v>-111.18</v>
      </c>
      <c r="L85" s="53"/>
      <c r="M85" s="35">
        <f>E85-березень!E87</f>
        <v>0</v>
      </c>
      <c r="N85" s="35">
        <f>F85-березень!F87</f>
        <v>0</v>
      </c>
      <c r="O85" s="47">
        <f aca="true" t="shared" si="19" ref="O85:O93">N85-M85</f>
        <v>0</v>
      </c>
      <c r="P85" s="53"/>
      <c r="Q85" s="53">
        <f>N85-24.53</f>
        <v>-24.53</v>
      </c>
      <c r="R85" s="129">
        <f>N85/24.53</f>
        <v>0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199">
        <f>SUM(F84:F85)</f>
        <v>-5.9</v>
      </c>
      <c r="G86" s="55">
        <f t="shared" si="17"/>
        <v>-5.9</v>
      </c>
      <c r="H86" s="65"/>
      <c r="I86" s="54">
        <f t="shared" si="18"/>
        <v>-5.9</v>
      </c>
      <c r="J86" s="54"/>
      <c r="K86" s="54">
        <f>F86-(-111.2)</f>
        <v>105.3</v>
      </c>
      <c r="L86" s="54">
        <f>F86/223.32*100</f>
        <v>-2.6419487730610784</v>
      </c>
      <c r="M86" s="55">
        <f>M85</f>
        <v>0</v>
      </c>
      <c r="N86" s="33">
        <f>SUM(N84:N85)</f>
        <v>8.75</v>
      </c>
      <c r="O86" s="54">
        <f t="shared" si="19"/>
        <v>8.75</v>
      </c>
      <c r="P86" s="54"/>
      <c r="Q86" s="54">
        <f>N86-92.85</f>
        <v>-84.1</v>
      </c>
      <c r="R86" s="130">
        <f>N86/92.85</f>
        <v>0.09423801830910071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98">
        <v>0</v>
      </c>
      <c r="G87" s="43">
        <f t="shared" si="17"/>
        <v>0</v>
      </c>
      <c r="H87" s="35" t="e">
        <f aca="true" t="shared" si="20" ref="H87:H93">F87/E87*100</f>
        <v>#DIV/0!</v>
      </c>
      <c r="I87" s="53">
        <f t="shared" si="18"/>
        <v>0</v>
      </c>
      <c r="J87" s="53" t="e">
        <f aca="true" t="shared" si="21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19"/>
        <v>0</v>
      </c>
      <c r="P87" s="53"/>
      <c r="Q87" s="53"/>
      <c r="R87" s="129"/>
    </row>
    <row r="88" spans="2:18" ht="31.5">
      <c r="B88" s="26" t="s">
        <v>111</v>
      </c>
      <c r="C88" s="97">
        <v>31030000</v>
      </c>
      <c r="D88" s="28">
        <v>2500</v>
      </c>
      <c r="E88" s="28">
        <v>70</v>
      </c>
      <c r="F88" s="198">
        <v>91.72</v>
      </c>
      <c r="G88" s="43">
        <f t="shared" si="17"/>
        <v>21.72</v>
      </c>
      <c r="H88" s="35"/>
      <c r="I88" s="53">
        <f t="shared" si="18"/>
        <v>-2408.28</v>
      </c>
      <c r="J88" s="53">
        <f t="shared" si="21"/>
        <v>3.6688</v>
      </c>
      <c r="K88" s="53">
        <f>F88-1435</f>
        <v>-1343.28</v>
      </c>
      <c r="L88" s="53">
        <f>F88/1435*100</f>
        <v>6.3916376306620215</v>
      </c>
      <c r="M88" s="35">
        <f>E88-березень!E90</f>
        <v>70</v>
      </c>
      <c r="N88" s="35">
        <f>F88-березень!F90</f>
        <v>58.25</v>
      </c>
      <c r="O88" s="47">
        <f t="shared" si="19"/>
        <v>-11.75</v>
      </c>
      <c r="P88" s="53"/>
      <c r="Q88" s="53">
        <f>N88-0.04</f>
        <v>58.21</v>
      </c>
      <c r="R88" s="129">
        <f>N88/0.04</f>
        <v>1456.25</v>
      </c>
    </row>
    <row r="89" spans="2:18" ht="15.75">
      <c r="B89" s="26" t="s">
        <v>112</v>
      </c>
      <c r="C89" s="97">
        <v>33010000</v>
      </c>
      <c r="D89" s="28">
        <v>11576</v>
      </c>
      <c r="E89" s="28">
        <v>1498.98</v>
      </c>
      <c r="F89" s="198">
        <v>1938.06</v>
      </c>
      <c r="G89" s="43">
        <f t="shared" si="17"/>
        <v>439.0799999999999</v>
      </c>
      <c r="H89" s="35">
        <f t="shared" si="20"/>
        <v>129.2919185045831</v>
      </c>
      <c r="I89" s="53">
        <f t="shared" si="18"/>
        <v>-9637.94</v>
      </c>
      <c r="J89" s="53">
        <f t="shared" si="21"/>
        <v>16.742052522460263</v>
      </c>
      <c r="K89" s="53">
        <f>F89-1487.49</f>
        <v>450.56999999999994</v>
      </c>
      <c r="L89" s="53">
        <f>F89/1487.49*100</f>
        <v>130.29062380251295</v>
      </c>
      <c r="M89" s="35">
        <f>E89-березень!E91</f>
        <v>960.85</v>
      </c>
      <c r="N89" s="35">
        <f>F89-березень!F91</f>
        <v>528.28</v>
      </c>
      <c r="O89" s="47">
        <f t="shared" si="19"/>
        <v>-432.57000000000005</v>
      </c>
      <c r="P89" s="53">
        <f>N89/M89*100</f>
        <v>54.980486027996044</v>
      </c>
      <c r="Q89" s="53">
        <f>N89-450.01</f>
        <v>78.26999999999998</v>
      </c>
      <c r="R89" s="129">
        <f>N89/450.01</f>
        <v>1.173929468234039</v>
      </c>
    </row>
    <row r="90" spans="2:18" ht="31.5">
      <c r="B90" s="26" t="s">
        <v>156</v>
      </c>
      <c r="C90" s="97">
        <v>24170000</v>
      </c>
      <c r="D90" s="28">
        <v>3000</v>
      </c>
      <c r="E90" s="28">
        <v>444.3</v>
      </c>
      <c r="F90" s="198">
        <v>34.14</v>
      </c>
      <c r="G90" s="43">
        <f t="shared" si="17"/>
        <v>-410.16</v>
      </c>
      <c r="H90" s="35">
        <f t="shared" si="20"/>
        <v>7.683997299122216</v>
      </c>
      <c r="I90" s="53">
        <f t="shared" si="18"/>
        <v>-2965.86</v>
      </c>
      <c r="J90" s="53">
        <f t="shared" si="21"/>
        <v>1.138</v>
      </c>
      <c r="K90" s="53">
        <f>F90-577.27</f>
        <v>-543.13</v>
      </c>
      <c r="L90" s="53">
        <f>F90/577.27*100</f>
        <v>5.914043688395378</v>
      </c>
      <c r="M90" s="35">
        <f>E90-березень!E92</f>
        <v>148.10000000000002</v>
      </c>
      <c r="N90" s="35">
        <f>F90-березень!F92</f>
        <v>23.08</v>
      </c>
      <c r="O90" s="47">
        <f t="shared" si="19"/>
        <v>-125.02000000000002</v>
      </c>
      <c r="P90" s="53">
        <f>N90/M90*100</f>
        <v>15.584064821066843</v>
      </c>
      <c r="Q90" s="53">
        <f>N90-1.05</f>
        <v>22.029999999999998</v>
      </c>
      <c r="R90" s="129">
        <f>N90/1.05</f>
        <v>21.980952380952377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2013.28</v>
      </c>
      <c r="F91" s="199">
        <f>F88+F89+F90</f>
        <v>2063.92</v>
      </c>
      <c r="G91" s="55">
        <f t="shared" si="17"/>
        <v>50.6400000000001</v>
      </c>
      <c r="H91" s="65">
        <f t="shared" si="20"/>
        <v>102.51529841850116</v>
      </c>
      <c r="I91" s="54">
        <f t="shared" si="18"/>
        <v>-15012.08</v>
      </c>
      <c r="J91" s="54">
        <f t="shared" si="21"/>
        <v>12.086671351604592</v>
      </c>
      <c r="K91" s="54">
        <f>F91-3499.76</f>
        <v>-1435.8400000000001</v>
      </c>
      <c r="L91" s="54">
        <f>F91/3499.96*100</f>
        <v>58.96981679790626</v>
      </c>
      <c r="M91" s="55">
        <f>M88+M89+M90</f>
        <v>1178.9499999999998</v>
      </c>
      <c r="N91" s="55">
        <f>N88+N89+N90</f>
        <v>609.61</v>
      </c>
      <c r="O91" s="54">
        <f t="shared" si="19"/>
        <v>-569.3399999999998</v>
      </c>
      <c r="P91" s="54">
        <f>N91/M91*100</f>
        <v>51.70787565206329</v>
      </c>
      <c r="Q91" s="54">
        <f>N91-7985.28</f>
        <v>-7375.67</v>
      </c>
      <c r="R91" s="173">
        <f>N91/7985.28</f>
        <v>0.07634171876252305</v>
      </c>
      <c r="S91" s="174"/>
    </row>
    <row r="92" spans="2:18" ht="47.25">
      <c r="B92" s="14" t="s">
        <v>124</v>
      </c>
      <c r="C92" s="100">
        <v>24062100</v>
      </c>
      <c r="D92" s="28">
        <v>35</v>
      </c>
      <c r="E92" s="28">
        <v>9</v>
      </c>
      <c r="F92" s="198">
        <v>0</v>
      </c>
      <c r="G92" s="43">
        <f t="shared" si="17"/>
        <v>-9</v>
      </c>
      <c r="H92" s="35"/>
      <c r="I92" s="53">
        <f t="shared" si="18"/>
        <v>-35</v>
      </c>
      <c r="J92" s="53">
        <f t="shared" si="21"/>
        <v>0</v>
      </c>
      <c r="K92" s="53">
        <f>F92-9.65</f>
        <v>-9.65</v>
      </c>
      <c r="L92" s="53">
        <f>F92/9.65*100</f>
        <v>0</v>
      </c>
      <c r="M92" s="35">
        <f>E92-березень!E94</f>
        <v>5</v>
      </c>
      <c r="N92" s="35">
        <f>F92-березень!F94</f>
        <v>0</v>
      </c>
      <c r="O92" s="47">
        <f t="shared" si="19"/>
        <v>-5</v>
      </c>
      <c r="P92" s="53"/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98">
        <v>0</v>
      </c>
      <c r="G93" s="43">
        <f t="shared" si="17"/>
        <v>0</v>
      </c>
      <c r="H93" s="35" t="e">
        <f t="shared" si="20"/>
        <v>#DIV/0!</v>
      </c>
      <c r="I93" s="56"/>
      <c r="J93" s="56"/>
      <c r="K93" s="56"/>
      <c r="L93" s="53">
        <f>F93</f>
        <v>0</v>
      </c>
      <c r="M93" s="35">
        <f>E93-березень!E95</f>
        <v>0</v>
      </c>
      <c r="N93" s="35">
        <f>F93-березень!F95</f>
        <v>0</v>
      </c>
      <c r="O93" s="47">
        <f t="shared" si="19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28">
        <v>19</v>
      </c>
      <c r="E94" s="28">
        <v>10</v>
      </c>
      <c r="F94" s="198">
        <v>0</v>
      </c>
      <c r="G94" s="43"/>
      <c r="H94" s="35"/>
      <c r="I94" s="56"/>
      <c r="J94" s="56"/>
      <c r="K94" s="47">
        <f>F94-17.76</f>
        <v>-17.76</v>
      </c>
      <c r="L94" s="53">
        <f>F94/17.76*100</f>
        <v>0</v>
      </c>
      <c r="M94" s="35">
        <f>E94-березень!E96</f>
        <v>10</v>
      </c>
      <c r="N94" s="35">
        <f>F94-березень!F96</f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98">
        <v>0.7</v>
      </c>
      <c r="G95" s="43">
        <f>F95-E95</f>
        <v>0.7</v>
      </c>
      <c r="H95" s="35"/>
      <c r="I95" s="53">
        <f>F95-D95</f>
        <v>0.7</v>
      </c>
      <c r="J95" s="53"/>
      <c r="K95" s="53">
        <f>F95-(-0.27)</f>
        <v>0.97</v>
      </c>
      <c r="L95" s="53">
        <f>F95/(-0.27)*100</f>
        <v>-259.25925925925924</v>
      </c>
      <c r="M95" s="35">
        <f>E95-березень!E97</f>
        <v>0</v>
      </c>
      <c r="N95" s="35">
        <f>F95-березень!F97</f>
        <v>0.12</v>
      </c>
      <c r="O95" s="47">
        <f>N95-M95</f>
        <v>0.12</v>
      </c>
      <c r="P95" s="53"/>
      <c r="Q95" s="53">
        <f>N95-(-0.21)</f>
        <v>0.32999999999999996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19</v>
      </c>
      <c r="F96" s="199">
        <f>F92+F95+F94</f>
        <v>0.7</v>
      </c>
      <c r="G96" s="55">
        <f>F96-E96</f>
        <v>-18.3</v>
      </c>
      <c r="H96" s="65"/>
      <c r="I96" s="54">
        <f>F96-D96</f>
        <v>-53.3</v>
      </c>
      <c r="J96" s="54">
        <f>F96/D96*100</f>
        <v>1.2962962962962963</v>
      </c>
      <c r="K96" s="54">
        <f>F96-27.14</f>
        <v>-26.44</v>
      </c>
      <c r="L96" s="54">
        <f>F96/27.14*100</f>
        <v>2.5792188651436994</v>
      </c>
      <c r="M96" s="55">
        <f>M92+M95+M94</f>
        <v>15</v>
      </c>
      <c r="N96" s="55">
        <f>N92+N95+N94</f>
        <v>0.12</v>
      </c>
      <c r="O96" s="54">
        <f>N96-M96</f>
        <v>-14.88</v>
      </c>
      <c r="P96" s="54"/>
      <c r="Q96" s="54">
        <f>N96-26.38</f>
        <v>-26.259999999999998</v>
      </c>
      <c r="R96" s="128">
        <f>N96/26.38</f>
        <v>0.004548900682335102</v>
      </c>
    </row>
    <row r="97" spans="2:18" ht="31.5">
      <c r="B97" s="14" t="s">
        <v>125</v>
      </c>
      <c r="C97" s="59">
        <v>24110900</v>
      </c>
      <c r="D97" s="28">
        <v>42</v>
      </c>
      <c r="E97" s="28">
        <v>12.79</v>
      </c>
      <c r="F97" s="198">
        <v>13.38</v>
      </c>
      <c r="G97" s="43">
        <f>F97-E97</f>
        <v>0.5900000000000016</v>
      </c>
      <c r="H97" s="35">
        <f>F97/E97*100</f>
        <v>104.61297888975764</v>
      </c>
      <c r="I97" s="53">
        <f>F97-D97</f>
        <v>-28.619999999999997</v>
      </c>
      <c r="J97" s="53">
        <f>F97/D97*100</f>
        <v>31.85714285714286</v>
      </c>
      <c r="K97" s="53">
        <f>F97-12.19</f>
        <v>1.1900000000000013</v>
      </c>
      <c r="L97" s="53">
        <f>F97/12.19*100</f>
        <v>109.76210008203446</v>
      </c>
      <c r="M97" s="35">
        <f>E97-березень!E99</f>
        <v>1.1999999999999993</v>
      </c>
      <c r="N97" s="35">
        <f>F97-березень!F99</f>
        <v>0.4300000000000015</v>
      </c>
      <c r="O97" s="47">
        <f>N97-M97</f>
        <v>-0.7699999999999978</v>
      </c>
      <c r="P97" s="53">
        <f>N97/M97*100</f>
        <v>35.83333333333348</v>
      </c>
      <c r="Q97" s="53">
        <f>N97-0.45</f>
        <v>-0.01999999999999852</v>
      </c>
      <c r="R97" s="129">
        <f>N97/0.45</f>
        <v>0.9555555555555588</v>
      </c>
    </row>
    <row r="98" spans="2:18" ht="15.75">
      <c r="B98" s="184" t="s">
        <v>258</v>
      </c>
      <c r="C98" s="59">
        <v>50110000</v>
      </c>
      <c r="D98" s="28"/>
      <c r="E98" s="28"/>
      <c r="F98" s="198">
        <v>0.2</v>
      </c>
      <c r="G98" s="43"/>
      <c r="H98" s="35"/>
      <c r="I98" s="53"/>
      <c r="J98" s="53"/>
      <c r="K98" s="53"/>
      <c r="L98" s="53"/>
      <c r="M98" s="35"/>
      <c r="N98" s="35">
        <f>F98</f>
        <v>0.2</v>
      </c>
      <c r="O98" s="47"/>
      <c r="P98" s="53"/>
      <c r="Q98" s="53"/>
      <c r="R98" s="129"/>
    </row>
    <row r="99" spans="2:18" ht="23.25" customHeight="1">
      <c r="B99" s="17" t="s">
        <v>114</v>
      </c>
      <c r="C99" s="88"/>
      <c r="D99" s="27">
        <f>D86+D97+D91+D96</f>
        <v>17172</v>
      </c>
      <c r="E99" s="27">
        <f>E86+E97+E91+E96</f>
        <v>2045.07</v>
      </c>
      <c r="F99" s="200">
        <f>F86+F97+F91+F96+F98</f>
        <v>2072.2999999999997</v>
      </c>
      <c r="G99" s="44">
        <f>F99-E99</f>
        <v>27.22999999999979</v>
      </c>
      <c r="H99" s="45">
        <f>F99/E99*100</f>
        <v>101.33149476546035</v>
      </c>
      <c r="I99" s="31">
        <f>F99-D99</f>
        <v>-15099.7</v>
      </c>
      <c r="J99" s="31">
        <f>F99/D99*100</f>
        <v>12.0679012345679</v>
      </c>
      <c r="K99" s="31">
        <f>K86+K91+K96+K97</f>
        <v>-1355.7900000000002</v>
      </c>
      <c r="L99" s="31"/>
      <c r="M99" s="27">
        <f>M86+M97+M91+M96</f>
        <v>1195.1499999999999</v>
      </c>
      <c r="N99" s="27">
        <f>N86+N97+N91+N96+N98</f>
        <v>619.11</v>
      </c>
      <c r="O99" s="31">
        <f>N99-M99</f>
        <v>-576.0399999999998</v>
      </c>
      <c r="P99" s="31">
        <f>N99/M99*100</f>
        <v>51.80186587457642</v>
      </c>
      <c r="Q99" s="31">
        <f>N99-8104.96</f>
        <v>-7485.85</v>
      </c>
      <c r="R99" s="127">
        <f>N99/8104.96</f>
        <v>0.0763865583543904</v>
      </c>
    </row>
    <row r="100" spans="2:18" ht="18.75">
      <c r="B100" s="24" t="s">
        <v>115</v>
      </c>
      <c r="C100" s="88"/>
      <c r="D100" s="27">
        <f>D79+D99</f>
        <v>547194.6</v>
      </c>
      <c r="E100" s="27">
        <f>E79+E99</f>
        <v>183536.9</v>
      </c>
      <c r="F100" s="200">
        <f>F79+F99</f>
        <v>211049.58999999997</v>
      </c>
      <c r="G100" s="44">
        <f>F100-E100</f>
        <v>27512.689999999973</v>
      </c>
      <c r="H100" s="45">
        <f>F100/E100*100</f>
        <v>114.99027715952485</v>
      </c>
      <c r="I100" s="31">
        <f>F100-D100</f>
        <v>-336145.01</v>
      </c>
      <c r="J100" s="31">
        <f>F100/D100*100</f>
        <v>38.569384639395196</v>
      </c>
      <c r="K100" s="31">
        <f>K79+K99</f>
        <v>51779.560000000005</v>
      </c>
      <c r="L100" s="31"/>
      <c r="M100" s="18">
        <f>M79+M99</f>
        <v>43986.2</v>
      </c>
      <c r="N100" s="18">
        <f>N79+N99</f>
        <v>62458.219999999994</v>
      </c>
      <c r="O100" s="31">
        <f>N100-M100</f>
        <v>18472.019999999997</v>
      </c>
      <c r="P100" s="31">
        <f>N100/M100*100</f>
        <v>141.99503480637108</v>
      </c>
      <c r="Q100" s="31">
        <f>N100-42872.96</f>
        <v>19585.259999999995</v>
      </c>
      <c r="R100" s="127">
        <f>N100/42872.96</f>
        <v>1.4568208026690947</v>
      </c>
    </row>
    <row r="101" spans="2:14" ht="15.75">
      <c r="B101" s="23" t="s">
        <v>117</v>
      </c>
      <c r="N101" s="29"/>
    </row>
    <row r="102" spans="2:4" ht="15.75">
      <c r="B102" s="4" t="s">
        <v>119</v>
      </c>
      <c r="C102" s="101">
        <v>0</v>
      </c>
      <c r="D102" s="4" t="s">
        <v>118</v>
      </c>
    </row>
    <row r="103" spans="2:17" ht="31.5">
      <c r="B103" s="71" t="s">
        <v>154</v>
      </c>
      <c r="C103" s="34">
        <f>IF(O79&lt;0,ABS(O79/C102),0)</f>
        <v>0</v>
      </c>
      <c r="D103" s="4" t="s">
        <v>104</v>
      </c>
      <c r="G103" s="231"/>
      <c r="H103" s="231"/>
      <c r="I103" s="231"/>
      <c r="J103" s="231"/>
      <c r="K103" s="115"/>
      <c r="L103" s="115"/>
      <c r="P103" s="29"/>
      <c r="Q103" s="29"/>
    </row>
    <row r="104" spans="2:15" ht="34.5" customHeight="1">
      <c r="B104" s="72" t="s">
        <v>159</v>
      </c>
      <c r="C104" s="111">
        <v>42124</v>
      </c>
      <c r="D104" s="34">
        <v>7056.9</v>
      </c>
      <c r="N104" s="232"/>
      <c r="O104" s="232"/>
    </row>
    <row r="105" spans="3:15" ht="15.75">
      <c r="C105" s="111">
        <v>42123</v>
      </c>
      <c r="D105" s="34">
        <v>7959.6</v>
      </c>
      <c r="F105" s="201" t="s">
        <v>166</v>
      </c>
      <c r="G105" s="233"/>
      <c r="H105" s="233"/>
      <c r="I105" s="177"/>
      <c r="J105" s="234"/>
      <c r="K105" s="234"/>
      <c r="L105" s="234"/>
      <c r="M105" s="234"/>
      <c r="N105" s="232"/>
      <c r="O105" s="232"/>
    </row>
    <row r="106" spans="3:15" ht="15.75" customHeight="1">
      <c r="C106" s="111">
        <v>42122</v>
      </c>
      <c r="D106" s="34">
        <v>4962.7</v>
      </c>
      <c r="G106" s="238" t="s">
        <v>151</v>
      </c>
      <c r="H106" s="238"/>
      <c r="I106" s="106">
        <v>8909.73221</v>
      </c>
      <c r="J106" s="239"/>
      <c r="K106" s="239"/>
      <c r="L106" s="239"/>
      <c r="M106" s="239"/>
      <c r="N106" s="232"/>
      <c r="O106" s="232"/>
    </row>
    <row r="107" spans="7:13" ht="15.75" customHeight="1">
      <c r="G107" s="240" t="s">
        <v>234</v>
      </c>
      <c r="H107" s="241"/>
      <c r="I107" s="103">
        <v>0</v>
      </c>
      <c r="J107" s="234"/>
      <c r="K107" s="234"/>
      <c r="L107" s="234"/>
      <c r="M107" s="234"/>
    </row>
    <row r="108" spans="2:13" ht="18.75" customHeight="1">
      <c r="B108" s="242" t="s">
        <v>160</v>
      </c>
      <c r="C108" s="243"/>
      <c r="D108" s="108">
        <v>154856.06924</v>
      </c>
      <c r="E108" s="73"/>
      <c r="F108" s="202" t="s">
        <v>147</v>
      </c>
      <c r="G108" s="238" t="s">
        <v>149</v>
      </c>
      <c r="H108" s="238"/>
      <c r="I108" s="107">
        <v>145946.33703</v>
      </c>
      <c r="J108" s="234"/>
      <c r="K108" s="234"/>
      <c r="L108" s="234"/>
      <c r="M108" s="234"/>
    </row>
    <row r="109" spans="7:12" ht="9.75" customHeight="1">
      <c r="G109" s="233"/>
      <c r="H109" s="233"/>
      <c r="I109" s="90"/>
      <c r="J109" s="91"/>
      <c r="K109" s="91"/>
      <c r="L109" s="91"/>
    </row>
    <row r="110" spans="2:12" ht="22.5" customHeight="1" hidden="1">
      <c r="B110" s="244" t="s">
        <v>167</v>
      </c>
      <c r="C110" s="245"/>
      <c r="D110" s="110">
        <v>0</v>
      </c>
      <c r="E110" s="70" t="s">
        <v>104</v>
      </c>
      <c r="G110" s="233"/>
      <c r="H110" s="233"/>
      <c r="I110" s="90"/>
      <c r="J110" s="91"/>
      <c r="K110" s="91"/>
      <c r="L110" s="91"/>
    </row>
    <row r="111" spans="4:15" ht="15.75">
      <c r="D111" s="105"/>
      <c r="N111" s="233"/>
      <c r="O111" s="233"/>
    </row>
    <row r="112" spans="4:15" ht="15.75">
      <c r="D112" s="104"/>
      <c r="I112" s="34"/>
      <c r="N112" s="246"/>
      <c r="O112" s="246"/>
    </row>
    <row r="113" spans="14:15" ht="15.75">
      <c r="N113" s="233"/>
      <c r="O113" s="233"/>
    </row>
    <row r="117" ht="15.75">
      <c r="E117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3:J103"/>
    <mergeCell ref="N104:O104"/>
    <mergeCell ref="G105:H105"/>
    <mergeCell ref="J105:M105"/>
    <mergeCell ref="N105:O105"/>
    <mergeCell ref="J4:J5"/>
    <mergeCell ref="N4:N5"/>
    <mergeCell ref="O4:O5"/>
    <mergeCell ref="P4:P5"/>
    <mergeCell ref="G106:H106"/>
    <mergeCell ref="J106:M106"/>
    <mergeCell ref="N106:O106"/>
    <mergeCell ref="G107:H107"/>
    <mergeCell ref="J107:M107"/>
    <mergeCell ref="B108:C108"/>
    <mergeCell ref="G108:H108"/>
    <mergeCell ref="J108:M108"/>
    <mergeCell ref="G109:H109"/>
    <mergeCell ref="N113:O113"/>
    <mergeCell ref="B110:C110"/>
    <mergeCell ref="G110:H110"/>
    <mergeCell ref="N111:O111"/>
    <mergeCell ref="N112:O112"/>
  </mergeCells>
  <printOptions/>
  <pageMargins left="0.15" right="0.18" top="0.36" bottom="0.34" header="0.24" footer="0.29"/>
  <pageSetup fitToHeight="1" fitToWidth="1"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E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K30" sqref="K30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05" t="s">
        <v>235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117"/>
      <c r="R1" s="118"/>
    </row>
    <row r="2" spans="2:18" s="1" customFormat="1" ht="15.75" customHeight="1">
      <c r="B2" s="206"/>
      <c r="C2" s="206"/>
      <c r="D2" s="206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07"/>
      <c r="B3" s="209"/>
      <c r="C3" s="210" t="s">
        <v>0</v>
      </c>
      <c r="D3" s="211" t="s">
        <v>216</v>
      </c>
      <c r="E3" s="40"/>
      <c r="F3" s="212" t="s">
        <v>107</v>
      </c>
      <c r="G3" s="213"/>
      <c r="H3" s="213"/>
      <c r="I3" s="213"/>
      <c r="J3" s="214"/>
      <c r="K3" s="114"/>
      <c r="L3" s="114"/>
      <c r="M3" s="215" t="s">
        <v>231</v>
      </c>
      <c r="N3" s="218" t="s">
        <v>232</v>
      </c>
      <c r="O3" s="218"/>
      <c r="P3" s="218"/>
      <c r="Q3" s="218"/>
      <c r="R3" s="218"/>
    </row>
    <row r="4" spans="1:18" ht="22.5" customHeight="1">
      <c r="A4" s="207"/>
      <c r="B4" s="209"/>
      <c r="C4" s="210"/>
      <c r="D4" s="211"/>
      <c r="E4" s="219" t="s">
        <v>228</v>
      </c>
      <c r="F4" s="223" t="s">
        <v>116</v>
      </c>
      <c r="G4" s="225" t="s">
        <v>229</v>
      </c>
      <c r="H4" s="227" t="s">
        <v>230</v>
      </c>
      <c r="I4" s="229" t="s">
        <v>217</v>
      </c>
      <c r="J4" s="216" t="s">
        <v>218</v>
      </c>
      <c r="K4" s="116" t="s">
        <v>172</v>
      </c>
      <c r="L4" s="121" t="s">
        <v>171</v>
      </c>
      <c r="M4" s="216"/>
      <c r="N4" s="235" t="s">
        <v>236</v>
      </c>
      <c r="O4" s="229" t="s">
        <v>136</v>
      </c>
      <c r="P4" s="237" t="s">
        <v>135</v>
      </c>
      <c r="Q4" s="122" t="s">
        <v>172</v>
      </c>
      <c r="R4" s="123" t="s">
        <v>171</v>
      </c>
    </row>
    <row r="5" spans="1:19" ht="92.25" customHeight="1">
      <c r="A5" s="208"/>
      <c r="B5" s="209"/>
      <c r="C5" s="210"/>
      <c r="D5" s="211"/>
      <c r="E5" s="220"/>
      <c r="F5" s="224"/>
      <c r="G5" s="226"/>
      <c r="H5" s="228"/>
      <c r="I5" s="230"/>
      <c r="J5" s="217"/>
      <c r="K5" s="221" t="s">
        <v>233</v>
      </c>
      <c r="L5" s="222"/>
      <c r="M5" s="217"/>
      <c r="N5" s="236"/>
      <c r="O5" s="230"/>
      <c r="P5" s="237"/>
      <c r="Q5" s="221" t="s">
        <v>176</v>
      </c>
      <c r="R5" s="222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135658.58</v>
      </c>
      <c r="F8" s="18">
        <f>F10+F19+F30+F33+F34+F42</f>
        <v>139482.78</v>
      </c>
      <c r="G8" s="18">
        <f aca="true" t="shared" si="0" ref="G8:G42">F8-E8</f>
        <v>3824.2000000000116</v>
      </c>
      <c r="H8" s="45">
        <f>F8/E8*100</f>
        <v>102.8189886699389</v>
      </c>
      <c r="I8" s="31">
        <f aca="true" t="shared" si="1" ref="I8:I42">F8-D8</f>
        <v>-377946.22</v>
      </c>
      <c r="J8" s="31">
        <f aca="true" t="shared" si="2" ref="J8:J14">F8/D8*100</f>
        <v>26.956892636477665</v>
      </c>
      <c r="K8" s="18">
        <f>K10+K19+K30+K33+K34+K42</f>
        <v>26683.662</v>
      </c>
      <c r="L8" s="18"/>
      <c r="M8" s="18">
        <f>M10+M19+M30+M33+M34+M42</f>
        <v>56550.58</v>
      </c>
      <c r="N8" s="18">
        <f>N10+N19+N30+N33+N34+N42</f>
        <v>48128.380000000005</v>
      </c>
      <c r="O8" s="31">
        <f aca="true" t="shared" si="3" ref="O8:O45">N8-M8</f>
        <v>-8422.199999999997</v>
      </c>
      <c r="P8" s="31">
        <f>F8/M8*100</f>
        <v>246.65136944660867</v>
      </c>
      <c r="Q8" s="31">
        <f>N8-33748.16</f>
        <v>14380.220000000001</v>
      </c>
      <c r="R8" s="125">
        <f>N8/33748.16</f>
        <v>1.4261038231417653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78437.5</v>
      </c>
      <c r="G9" s="18">
        <f t="shared" si="0"/>
        <v>78437.5</v>
      </c>
      <c r="H9" s="16"/>
      <c r="I9" s="50">
        <f t="shared" si="1"/>
        <v>-234252.5</v>
      </c>
      <c r="J9" s="50">
        <f t="shared" si="2"/>
        <v>25.08474847292846</v>
      </c>
      <c r="K9" s="50"/>
      <c r="L9" s="50"/>
      <c r="M9" s="16">
        <f>M10+M17</f>
        <v>31584.579999999994</v>
      </c>
      <c r="N9" s="16">
        <f>N10+N17</f>
        <v>28750.010000000002</v>
      </c>
      <c r="O9" s="31">
        <f t="shared" si="3"/>
        <v>-2834.5699999999924</v>
      </c>
      <c r="P9" s="50">
        <f>F9/M9*100</f>
        <v>248.34112088873752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76513.98</v>
      </c>
      <c r="F10" s="143">
        <v>78437.5</v>
      </c>
      <c r="G10" s="43">
        <f t="shared" si="0"/>
        <v>1923.520000000004</v>
      </c>
      <c r="H10" s="35">
        <f aca="true" t="shared" si="4" ref="H10:H42">F10/E10*100</f>
        <v>102.5139458174833</v>
      </c>
      <c r="I10" s="50">
        <f t="shared" si="1"/>
        <v>-234252.5</v>
      </c>
      <c r="J10" s="50">
        <f t="shared" si="2"/>
        <v>25.08474847292846</v>
      </c>
      <c r="K10" s="132">
        <f>F10-86046.61/75*60</f>
        <v>9600.212</v>
      </c>
      <c r="L10" s="132">
        <f>F10/(86046.61/75*60)*100</f>
        <v>113.94623797497658</v>
      </c>
      <c r="M10" s="35">
        <f>E10-лютий!E10</f>
        <v>31584.579999999994</v>
      </c>
      <c r="N10" s="35">
        <f>F10-лютий!F10</f>
        <v>28750.010000000002</v>
      </c>
      <c r="O10" s="47">
        <f t="shared" si="3"/>
        <v>-2834.5699999999924</v>
      </c>
      <c r="P10" s="50">
        <f aca="true" t="shared" si="5" ref="P10:P42">N10/M10*100</f>
        <v>91.02546242501882</v>
      </c>
      <c r="Q10" s="132">
        <f>N10-26568.11</f>
        <v>2181.9000000000015</v>
      </c>
      <c r="R10" s="133">
        <f>N10/26568.11</f>
        <v>1.0821247728950234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E11-лютий!E11</f>
        <v>0</v>
      </c>
      <c r="N11" s="35">
        <f>F11-лютий!F11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E12-лютий!E12</f>
        <v>0</v>
      </c>
      <c r="N12" s="35">
        <f>F12-лютий!F12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E13-лютий!E13</f>
        <v>0</v>
      </c>
      <c r="N13" s="35">
        <f>F13-лютий!F13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E14-лютий!E14</f>
        <v>0</v>
      </c>
      <c r="N14" s="35">
        <f>F14-лютий!F14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E15-лютий!E15</f>
        <v>0</v>
      </c>
      <c r="N15" s="35">
        <f>F15-лютий!F15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E16-лютий!E16</f>
        <v>0</v>
      </c>
      <c r="N16" s="35">
        <f>F16-лютий!F16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E17-лютий!E17</f>
        <v>0</v>
      </c>
      <c r="N17" s="35">
        <f>F17-лютий!F17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E18-лютий!E18</f>
        <v>0</v>
      </c>
      <c r="N18" s="35">
        <f>F18-лютий!F18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43">
        <v>-1019.88</v>
      </c>
      <c r="G19" s="43">
        <f t="shared" si="0"/>
        <v>-1191.08</v>
      </c>
      <c r="H19" s="35"/>
      <c r="I19" s="50">
        <f t="shared" si="1"/>
        <v>-1519.88</v>
      </c>
      <c r="J19" s="50">
        <f aca="true" t="shared" si="6" ref="J19:J30">F19/D19*100</f>
        <v>-203.97599999999997</v>
      </c>
      <c r="K19" s="50">
        <f>F19-815.68</f>
        <v>-1835.56</v>
      </c>
      <c r="L19" s="50">
        <f>F19/815.68*100</f>
        <v>-125.0343271871322</v>
      </c>
      <c r="M19" s="35">
        <f>E19-лютий!E19</f>
        <v>171.2</v>
      </c>
      <c r="N19" s="35">
        <f>F19-лютий!F19</f>
        <v>-43.39999999999998</v>
      </c>
      <c r="O19" s="47">
        <f t="shared" si="3"/>
        <v>-214.59999999999997</v>
      </c>
      <c r="P19" s="50"/>
      <c r="Q19" s="50">
        <f>N19-358.81</f>
        <v>-402.21</v>
      </c>
      <c r="R19" s="126">
        <f>N19/358.81</f>
        <v>-0.12095538028483034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E20-лютий!E20</f>
        <v>0</v>
      </c>
      <c r="N20" s="35">
        <f>F20-лютий!F20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E21-лютий!E21</f>
        <v>0</v>
      </c>
      <c r="N21" s="35">
        <f>F21-лютий!F21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E22-лютий!E22</f>
        <v>0</v>
      </c>
      <c r="N22" s="35">
        <f>F22-лютий!F22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E23-лютий!E23</f>
        <v>0</v>
      </c>
      <c r="N23" s="35">
        <f>F23-лютий!F23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E24-лютий!E24</f>
        <v>0</v>
      </c>
      <c r="N24" s="35">
        <f>F24-лютий!F24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E25-лютий!E25</f>
        <v>0</v>
      </c>
      <c r="N25" s="35">
        <f>F25-лютий!F25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E26-лютий!E26</f>
        <v>0</v>
      </c>
      <c r="N26" s="35">
        <f>F26-лютий!F26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E27-лютий!E27</f>
        <v>0</v>
      </c>
      <c r="N27" s="35">
        <f>F27-лютий!F27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E28-лютий!E28</f>
        <v>0</v>
      </c>
      <c r="N28" s="35">
        <f>F28-лютий!F28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-1417.18</v>
      </c>
      <c r="G29" s="135">
        <f t="shared" si="0"/>
        <v>-1417.18</v>
      </c>
      <c r="H29" s="137"/>
      <c r="I29" s="136">
        <f t="shared" si="1"/>
        <v>-1417.18</v>
      </c>
      <c r="J29" s="136"/>
      <c r="K29" s="136">
        <f>F29-751.16</f>
        <v>-2168.34</v>
      </c>
      <c r="L29" s="136">
        <f>F29/751.16*100</f>
        <v>-188.6655306459343</v>
      </c>
      <c r="M29" s="35">
        <f>E29-лютий!E29</f>
        <v>0</v>
      </c>
      <c r="N29" s="35">
        <f>F29-лютий!F29</f>
        <v>-514.7900000000001</v>
      </c>
      <c r="O29" s="138">
        <f t="shared" si="3"/>
        <v>-514.7900000000001</v>
      </c>
      <c r="P29" s="50"/>
      <c r="Q29" s="136">
        <f>N29-358.81</f>
        <v>-873.6000000000001</v>
      </c>
      <c r="R29" s="141">
        <f>N29/358.79</f>
        <v>-1.4347947267203658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E30-лютий!E30</f>
        <v>0</v>
      </c>
      <c r="N30" s="35">
        <f>F30-лютий!F30</f>
        <v>0</v>
      </c>
      <c r="O30" s="47">
        <f t="shared" si="3"/>
        <v>0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E31-лютий!E31</f>
        <v>0</v>
      </c>
      <c r="N31" s="35">
        <f>F31-лютий!F31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E32-лютий!E32</f>
        <v>0</v>
      </c>
      <c r="N32" s="35">
        <f>F32-лютий!F32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9940</v>
      </c>
      <c r="F33" s="168">
        <v>10070.48</v>
      </c>
      <c r="G33" s="43">
        <f t="shared" si="0"/>
        <v>130.47999999999956</v>
      </c>
      <c r="H33" s="35">
        <f t="shared" si="4"/>
        <v>101.31267605633802</v>
      </c>
      <c r="I33" s="50">
        <f t="shared" si="1"/>
        <v>-19879.52</v>
      </c>
      <c r="J33" s="178">
        <f>F33/D33*100</f>
        <v>33.62430717863105</v>
      </c>
      <c r="K33" s="179">
        <f>F33-0</f>
        <v>10070.48</v>
      </c>
      <c r="L33" s="180"/>
      <c r="M33" s="35">
        <f>E33-лютий!E33</f>
        <v>7220</v>
      </c>
      <c r="N33" s="35">
        <f>F33-лютий!F33</f>
        <v>6545.36</v>
      </c>
      <c r="O33" s="47">
        <f t="shared" si="3"/>
        <v>-674.6400000000003</v>
      </c>
      <c r="P33" s="50">
        <f t="shared" si="5"/>
        <v>90.65595567867035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47035</v>
      </c>
      <c r="F34" s="169">
        <f>F35+F39+F41+F40</f>
        <v>49978.979999999996</v>
      </c>
      <c r="G34" s="43">
        <f t="shared" si="0"/>
        <v>2943.979999999996</v>
      </c>
      <c r="H34" s="35">
        <f t="shared" si="4"/>
        <v>106.25912618262994</v>
      </c>
      <c r="I34" s="50">
        <f t="shared" si="1"/>
        <v>-116791.02</v>
      </c>
      <c r="J34" s="178">
        <f aca="true" t="shared" si="11" ref="J34:J42">F34/D34*100</f>
        <v>29.968807339449537</v>
      </c>
      <c r="K34" s="178">
        <f>K35+K39+K40+K41</f>
        <v>9439.489999999998</v>
      </c>
      <c r="L34" s="136"/>
      <c r="M34" s="35">
        <f>E34-лютий!E34</f>
        <v>17574.5</v>
      </c>
      <c r="N34" s="35">
        <f>F34-лютий!F34</f>
        <v>12875.75</v>
      </c>
      <c r="O34" s="47">
        <f t="shared" si="3"/>
        <v>-4698.75</v>
      </c>
      <c r="P34" s="50">
        <f t="shared" si="5"/>
        <v>73.26381973882614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23787</v>
      </c>
      <c r="F35" s="169">
        <f>F36+F37+F38</f>
        <v>24610.26</v>
      </c>
      <c r="G35" s="43">
        <f t="shared" si="0"/>
        <v>823.2599999999984</v>
      </c>
      <c r="H35" s="35">
        <f t="shared" si="4"/>
        <v>103.46096607390591</v>
      </c>
      <c r="I35" s="50">
        <f t="shared" si="1"/>
        <v>-73589.74</v>
      </c>
      <c r="J35" s="178">
        <f t="shared" si="11"/>
        <v>25.061364562118126</v>
      </c>
      <c r="K35" s="178">
        <f>K36+K37+K38</f>
        <v>5419.519999999999</v>
      </c>
      <c r="L35" s="136"/>
      <c r="M35" s="35">
        <f>E35-лютий!E35</f>
        <v>10032.5</v>
      </c>
      <c r="N35" s="35">
        <f>F35-лютий!F35</f>
        <v>9343.469999999998</v>
      </c>
      <c r="O35" s="47">
        <f t="shared" si="3"/>
        <v>-689.0300000000025</v>
      </c>
      <c r="P35" s="50">
        <f t="shared" si="5"/>
        <v>93.13202093197107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110</v>
      </c>
      <c r="F36" s="144">
        <v>526.28</v>
      </c>
      <c r="G36" s="135">
        <f t="shared" si="0"/>
        <v>416.28</v>
      </c>
      <c r="H36" s="137">
        <f t="shared" si="4"/>
        <v>478.43636363636364</v>
      </c>
      <c r="I36" s="136">
        <f t="shared" si="1"/>
        <v>-473.72</v>
      </c>
      <c r="J36" s="136">
        <f t="shared" si="11"/>
        <v>52.628</v>
      </c>
      <c r="K36" s="136">
        <f>F36-101.47</f>
        <v>424.80999999999995</v>
      </c>
      <c r="L36" s="136">
        <f>F36/101.47*100</f>
        <v>518.6557603232483</v>
      </c>
      <c r="M36" s="35">
        <f>E36-лютий!E36</f>
        <v>5.5</v>
      </c>
      <c r="N36" s="35">
        <f>F36-лютий!F36</f>
        <v>220.26999999999998</v>
      </c>
      <c r="O36" s="47">
        <f t="shared" si="3"/>
        <v>214.76999999999998</v>
      </c>
      <c r="P36" s="50">
        <f t="shared" si="5"/>
        <v>4004.9090909090905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37.7</v>
      </c>
      <c r="G37" s="135">
        <f t="shared" si="0"/>
        <v>37.7</v>
      </c>
      <c r="H37" s="137"/>
      <c r="I37" s="136">
        <f t="shared" si="1"/>
        <v>-1462.3</v>
      </c>
      <c r="J37" s="136">
        <f t="shared" si="11"/>
        <v>2.513333333333333</v>
      </c>
      <c r="K37" s="136">
        <f>F37-0</f>
        <v>37.7</v>
      </c>
      <c r="L37" s="136"/>
      <c r="M37" s="35">
        <f>E37-лютий!E37</f>
        <v>0</v>
      </c>
      <c r="N37" s="35">
        <f>F37-лютий!F37</f>
        <v>31.450000000000003</v>
      </c>
      <c r="O37" s="47">
        <f t="shared" si="3"/>
        <v>31.450000000000003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23677</v>
      </c>
      <c r="F38" s="144">
        <v>24046.28</v>
      </c>
      <c r="G38" s="135">
        <f t="shared" si="0"/>
        <v>369.27999999999884</v>
      </c>
      <c r="H38" s="137">
        <f t="shared" si="4"/>
        <v>101.55965705114667</v>
      </c>
      <c r="I38" s="136">
        <f t="shared" si="1"/>
        <v>-71653.72</v>
      </c>
      <c r="J38" s="136">
        <f t="shared" si="11"/>
        <v>25.126729362591433</v>
      </c>
      <c r="K38" s="139">
        <f>F38-19089.27</f>
        <v>4957.009999999998</v>
      </c>
      <c r="L38" s="139">
        <f>F38/19089.27*100</f>
        <v>125.96751997326245</v>
      </c>
      <c r="M38" s="35">
        <f>E38-лютий!E38</f>
        <v>10027</v>
      </c>
      <c r="N38" s="35">
        <f>F38-лютий!F38</f>
        <v>9091.749999999998</v>
      </c>
      <c r="O38" s="47">
        <f t="shared" si="3"/>
        <v>-935.2500000000018</v>
      </c>
      <c r="P38" s="50">
        <f t="shared" si="5"/>
        <v>90.67268375386455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8</v>
      </c>
      <c r="F39" s="168">
        <v>17.62</v>
      </c>
      <c r="G39" s="43">
        <f t="shared" si="0"/>
        <v>9.620000000000001</v>
      </c>
      <c r="H39" s="35">
        <f t="shared" si="4"/>
        <v>220.25</v>
      </c>
      <c r="I39" s="50">
        <f t="shared" si="1"/>
        <v>-52.379999999999995</v>
      </c>
      <c r="J39" s="178">
        <f t="shared" si="11"/>
        <v>25.17142857142857</v>
      </c>
      <c r="K39" s="178">
        <f>F39-19.65</f>
        <v>-2.0299999999999976</v>
      </c>
      <c r="L39" s="178">
        <f>F39/19.65*100</f>
        <v>89.66921119592877</v>
      </c>
      <c r="M39" s="35">
        <f>E39-лютий!E39</f>
        <v>2</v>
      </c>
      <c r="N39" s="35">
        <f>F39-лютий!F39</f>
        <v>3.4000000000000004</v>
      </c>
      <c r="O39" s="47">
        <f t="shared" si="3"/>
        <v>1.4000000000000004</v>
      </c>
      <c r="P39" s="50">
        <f t="shared" si="5"/>
        <v>170.00000000000003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12.89</v>
      </c>
      <c r="G40" s="43">
        <f t="shared" si="0"/>
        <v>12.89</v>
      </c>
      <c r="H40" s="35"/>
      <c r="I40" s="50">
        <f t="shared" si="1"/>
        <v>12.89</v>
      </c>
      <c r="J40" s="136"/>
      <c r="K40" s="178">
        <f>F40-1634.06</f>
        <v>-1621.1699999999998</v>
      </c>
      <c r="L40" s="178">
        <f>F40/1634.06*100</f>
        <v>0.7888327234006096</v>
      </c>
      <c r="M40" s="35">
        <f>E40-лютий!E40</f>
        <v>0</v>
      </c>
      <c r="N40" s="35">
        <f>F40-лютий!F40</f>
        <v>-74.78</v>
      </c>
      <c r="O40" s="47">
        <f t="shared" si="3"/>
        <v>-74.78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23240</v>
      </c>
      <c r="F41" s="168">
        <v>25338.21</v>
      </c>
      <c r="G41" s="43">
        <f t="shared" si="0"/>
        <v>2098.209999999999</v>
      </c>
      <c r="H41" s="35">
        <f t="shared" si="4"/>
        <v>109.02844234079174</v>
      </c>
      <c r="I41" s="50">
        <f t="shared" si="1"/>
        <v>-43161.79</v>
      </c>
      <c r="J41" s="178">
        <f t="shared" si="11"/>
        <v>36.99008759124087</v>
      </c>
      <c r="K41" s="132">
        <f>F41-19695.04</f>
        <v>5643.169999999998</v>
      </c>
      <c r="L41" s="132">
        <f>F41/19695.04*100</f>
        <v>128.6527470875916</v>
      </c>
      <c r="M41" s="35">
        <f>E41-лютий!E41</f>
        <v>7540</v>
      </c>
      <c r="N41" s="35">
        <f>F41-лютий!F41</f>
        <v>3603.66</v>
      </c>
      <c r="O41" s="47">
        <f t="shared" si="3"/>
        <v>-3936.34</v>
      </c>
      <c r="P41" s="50">
        <f t="shared" si="5"/>
        <v>47.79389920424403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1985.4</v>
      </c>
      <c r="F42" s="168">
        <v>1999.9</v>
      </c>
      <c r="G42" s="43">
        <f t="shared" si="0"/>
        <v>14.5</v>
      </c>
      <c r="H42" s="35">
        <f t="shared" si="4"/>
        <v>100.73033141936133</v>
      </c>
      <c r="I42" s="50">
        <f t="shared" si="1"/>
        <v>-5500.1</v>
      </c>
      <c r="J42" s="136">
        <f t="shared" si="11"/>
        <v>26.665333333333336</v>
      </c>
      <c r="K42" s="178">
        <f>F42-2603.75</f>
        <v>-603.8499999999999</v>
      </c>
      <c r="L42" s="178">
        <f>F42/2603.75*100</f>
        <v>76.8084493518963</v>
      </c>
      <c r="M42" s="35">
        <f>E42-лютий!E42</f>
        <v>0.3000000000001819</v>
      </c>
      <c r="N42" s="35">
        <f>F42-лютий!F42</f>
        <v>0.6600000000000819</v>
      </c>
      <c r="O42" s="47">
        <f t="shared" si="3"/>
        <v>0.35999999999989996</v>
      </c>
      <c r="P42" s="50">
        <f t="shared" si="5"/>
        <v>219.99999999989387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3036</v>
      </c>
      <c r="F48" s="18">
        <f>F51+F60+F61+F62+F63+F71+F72+F73+F75+F79+F70+F69</f>
        <v>7649.28</v>
      </c>
      <c r="G48" s="44">
        <f aca="true" t="shared" si="12" ref="G48:G81">F48-E48</f>
        <v>4613.28</v>
      </c>
      <c r="H48" s="45">
        <f aca="true" t="shared" si="13" ref="H48:H59">F48/E48*100</f>
        <v>251.95256916996044</v>
      </c>
      <c r="I48" s="31">
        <f aca="true" t="shared" si="14" ref="I48:I81">F48-D48</f>
        <v>-4917.820000000001</v>
      </c>
      <c r="J48" s="31">
        <f aca="true" t="shared" si="15" ref="J48:J66">F48/D48*100</f>
        <v>60.867503242593756</v>
      </c>
      <c r="K48" s="18">
        <f>K51+K60+K61+K62+K63+K71+K72+K73+K75+K79+K70</f>
        <v>4512.860000000001</v>
      </c>
      <c r="L48" s="18"/>
      <c r="M48" s="18">
        <f>M51+M60+M61+M62+M63+M71+M72+M73+M75+M79+M70+M69</f>
        <v>955.5</v>
      </c>
      <c r="N48" s="18">
        <f>N51+N60+N61+N62+N63+N71+N72+N73+N75+N79+N70+N69</f>
        <v>2765.58</v>
      </c>
      <c r="O48" s="49">
        <f aca="true" t="shared" si="16" ref="O48:O81">N48-M48</f>
        <v>1810.08</v>
      </c>
      <c r="P48" s="31">
        <f>N48/M48*100</f>
        <v>289.4379905808477</v>
      </c>
      <c r="Q48" s="31">
        <f>N48-1017.63</f>
        <v>1747.9499999999998</v>
      </c>
      <c r="R48" s="127">
        <f>N48/1017.63</f>
        <v>2.7176675215942927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35</v>
      </c>
      <c r="F51" s="143">
        <v>-3.69</v>
      </c>
      <c r="G51" s="43">
        <f t="shared" si="12"/>
        <v>-38.69</v>
      </c>
      <c r="H51" s="35">
        <f t="shared" si="13"/>
        <v>-10.542857142857143</v>
      </c>
      <c r="I51" s="50">
        <f t="shared" si="14"/>
        <v>-203.69</v>
      </c>
      <c r="J51" s="50">
        <f t="shared" si="15"/>
        <v>-1.8450000000000002</v>
      </c>
      <c r="K51" s="50">
        <f>F51-23.91</f>
        <v>-27.6</v>
      </c>
      <c r="L51" s="50">
        <f>F51/23.91*100</f>
        <v>-15.432873274780427</v>
      </c>
      <c r="M51" s="35">
        <f>E51-лютий!E51</f>
        <v>10</v>
      </c>
      <c r="N51" s="35">
        <f>F51-лютий!F51</f>
        <v>0.16999999999999993</v>
      </c>
      <c r="O51" s="47">
        <f t="shared" si="16"/>
        <v>-9.83</v>
      </c>
      <c r="P51" s="50">
        <f aca="true" t="shared" si="17" ref="P51:P59">N51/M51*100</f>
        <v>1.6999999999999995</v>
      </c>
      <c r="Q51" s="50">
        <f>N51-0</f>
        <v>0.16999999999999993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E52-лютий!E52</f>
        <v>0</v>
      </c>
      <c r="N52" s="35">
        <f>F52-лютий!F52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E53-лютий!E53</f>
        <v>0</v>
      </c>
      <c r="N53" s="35">
        <f>F53-лютий!F53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E54-лютий!E54</f>
        <v>0</v>
      </c>
      <c r="N54" s="35">
        <f>F54-лютий!F54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E55-лютий!E55</f>
        <v>0</v>
      </c>
      <c r="N55" s="35">
        <f>F55-лютий!F55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E56-лютий!E56</f>
        <v>0</v>
      </c>
      <c r="N56" s="35">
        <f>F56-лютий!F56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E57-лютий!E57</f>
        <v>0</v>
      </c>
      <c r="N57" s="35">
        <f>F57-лютий!F57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E58-лютий!E58</f>
        <v>0</v>
      </c>
      <c r="N58" s="35">
        <f>F58-лютий!F58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E59-лютий!E59</f>
        <v>0</v>
      </c>
      <c r="N59" s="35">
        <f>F59-лютий!F59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E60-лютий!E60</f>
        <v>0</v>
      </c>
      <c r="N60" s="35">
        <f>F60-лютий!F60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4.04</v>
      </c>
      <c r="G61" s="43">
        <f t="shared" si="12"/>
        <v>4.04</v>
      </c>
      <c r="H61" s="35"/>
      <c r="I61" s="50">
        <f t="shared" si="14"/>
        <v>4.04</v>
      </c>
      <c r="J61" s="50"/>
      <c r="K61" s="50">
        <f>F61-212.16</f>
        <v>-208.12</v>
      </c>
      <c r="L61" s="50">
        <f>F61/212.16*100</f>
        <v>1.9042232277526396</v>
      </c>
      <c r="M61" s="35">
        <f>E61-лютий!E61</f>
        <v>0</v>
      </c>
      <c r="N61" s="35">
        <f>F61-лютий!F61</f>
        <v>1.19</v>
      </c>
      <c r="O61" s="47">
        <f t="shared" si="16"/>
        <v>1.19</v>
      </c>
      <c r="P61" s="50"/>
      <c r="Q61" s="50">
        <f>N61-4.23</f>
        <v>-3.0400000000000005</v>
      </c>
      <c r="R61" s="126">
        <f>N61/4.23</f>
        <v>0.2813238770685579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1</v>
      </c>
      <c r="F62" s="143">
        <v>0</v>
      </c>
      <c r="G62" s="43">
        <f t="shared" si="12"/>
        <v>-1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E62-лютий!E62</f>
        <v>0.5</v>
      </c>
      <c r="N62" s="35">
        <f>F62-лютий!F62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25</v>
      </c>
      <c r="F63" s="143">
        <v>30.76</v>
      </c>
      <c r="G63" s="43">
        <f t="shared" si="12"/>
        <v>5.760000000000002</v>
      </c>
      <c r="H63" s="35">
        <f>F63/E63*100</f>
        <v>123.04000000000002</v>
      </c>
      <c r="I63" s="50">
        <f t="shared" si="14"/>
        <v>-109.24</v>
      </c>
      <c r="J63" s="50">
        <v>10</v>
      </c>
      <c r="K63" s="50">
        <f>F63-26.77</f>
        <v>3.990000000000002</v>
      </c>
      <c r="L63" s="50">
        <f>F63/26.77*100</f>
        <v>114.90474411654839</v>
      </c>
      <c r="M63" s="35">
        <f>E63-лютий!E63</f>
        <v>9</v>
      </c>
      <c r="N63" s="35">
        <f>F63-лютий!F63</f>
        <v>13.930000000000003</v>
      </c>
      <c r="O63" s="47">
        <f t="shared" si="16"/>
        <v>4.930000000000003</v>
      </c>
      <c r="P63" s="50">
        <f>N63/M63*100</f>
        <v>154.77777777777783</v>
      </c>
      <c r="Q63" s="50">
        <f>N63-9.02</f>
        <v>4.910000000000004</v>
      </c>
      <c r="R63" s="126">
        <f>N63/9.02</f>
        <v>1.5443458980044351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>F64-19.41</f>
        <v>-19.41</v>
      </c>
      <c r="L64" s="50">
        <f>F64</f>
        <v>0</v>
      </c>
      <c r="M64" s="35">
        <f>E64-лютий!E64</f>
        <v>0</v>
      </c>
      <c r="N64" s="35">
        <f>F64-лютий!F64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>F65-19.41</f>
        <v>-19.41</v>
      </c>
      <c r="L65" s="50">
        <f>F65</f>
        <v>0</v>
      </c>
      <c r="M65" s="35">
        <f>E65-лютий!E65</f>
        <v>0</v>
      </c>
      <c r="N65" s="35">
        <f>F65-лютий!F65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>F66-19.41</f>
        <v>-19.41</v>
      </c>
      <c r="L66" s="50">
        <f>F66</f>
        <v>0</v>
      </c>
      <c r="M66" s="35">
        <f>E66-лютий!E66</f>
        <v>0</v>
      </c>
      <c r="N66" s="35">
        <f>F66-лютий!F66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>F67-19.41</f>
        <v>-19.41</v>
      </c>
      <c r="L67" s="50">
        <f>F67</f>
        <v>0</v>
      </c>
      <c r="M67" s="35">
        <f>E67-лютий!E67</f>
        <v>0</v>
      </c>
      <c r="N67" s="35">
        <f>F67-лютий!F67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>F68-19.41</f>
        <v>-19.41</v>
      </c>
      <c r="L68" s="50">
        <f>F68</f>
        <v>0</v>
      </c>
      <c r="M68" s="35">
        <f>E68-лютий!E68</f>
        <v>0</v>
      </c>
      <c r="N68" s="35">
        <f>F68-лютий!F68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1</v>
      </c>
      <c r="G69" s="43">
        <f>F69-E69</f>
        <v>1</v>
      </c>
      <c r="H69" s="35"/>
      <c r="I69" s="50">
        <f>F69-D69</f>
        <v>1</v>
      </c>
      <c r="J69" s="50"/>
      <c r="K69" s="50">
        <f>F69-0</f>
        <v>1</v>
      </c>
      <c r="L69" s="50"/>
      <c r="M69" s="35">
        <f>E69-лютий!E69</f>
        <v>0</v>
      </c>
      <c r="N69" s="35">
        <f>F69-лютий!F69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2528.58</v>
      </c>
      <c r="G70" s="43">
        <f t="shared" si="12"/>
        <v>2528.58</v>
      </c>
      <c r="H70" s="35"/>
      <c r="I70" s="50">
        <f t="shared" si="14"/>
        <v>2528.58</v>
      </c>
      <c r="J70" s="50"/>
      <c r="K70" s="50">
        <f>F70-0</f>
        <v>2528.58</v>
      </c>
      <c r="L70" s="50"/>
      <c r="M70" s="35">
        <f>E70-лютий!E70</f>
        <v>0</v>
      </c>
      <c r="N70" s="35">
        <f>F70-лютий!F70</f>
        <v>969.1099999999999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1790</v>
      </c>
      <c r="F71" s="143">
        <v>1946.14</v>
      </c>
      <c r="G71" s="43">
        <f t="shared" si="12"/>
        <v>156.1400000000001</v>
      </c>
      <c r="H71" s="35">
        <f>F71/E71*100</f>
        <v>108.72290502793295</v>
      </c>
      <c r="I71" s="50">
        <f t="shared" si="14"/>
        <v>-4953.86</v>
      </c>
      <c r="J71" s="50">
        <v>550</v>
      </c>
      <c r="K71" s="50">
        <f>F71-1727.4</f>
        <v>218.74</v>
      </c>
      <c r="L71" s="50">
        <f>F71/1727.4*100</f>
        <v>112.66296167650805</v>
      </c>
      <c r="M71" s="35">
        <f>E71-лютий!E71</f>
        <v>550</v>
      </c>
      <c r="N71" s="35">
        <f>F71-лютий!F71</f>
        <v>626.94</v>
      </c>
      <c r="O71" s="47">
        <f t="shared" si="16"/>
        <v>76.94000000000005</v>
      </c>
      <c r="P71" s="50">
        <f>N71/M71*100</f>
        <v>113.98909090909093</v>
      </c>
      <c r="Q71" s="50">
        <f>N71-647.49</f>
        <v>-20.549999999999955</v>
      </c>
      <c r="R71" s="126">
        <f>N71/647.49</f>
        <v>0.9682620581012835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230</v>
      </c>
      <c r="F72" s="143">
        <v>2181.98</v>
      </c>
      <c r="G72" s="43">
        <f t="shared" si="12"/>
        <v>1951.98</v>
      </c>
      <c r="H72" s="35">
        <f>F72/E72*100</f>
        <v>948.6869565217391</v>
      </c>
      <c r="I72" s="50">
        <f t="shared" si="14"/>
        <v>1081.98</v>
      </c>
      <c r="J72" s="50">
        <v>90</v>
      </c>
      <c r="K72" s="50">
        <f>F72-198.87</f>
        <v>1983.1100000000001</v>
      </c>
      <c r="L72" s="50">
        <f>F72/198.9*100</f>
        <v>1097.0236299648063</v>
      </c>
      <c r="M72" s="35">
        <f>E72-лютий!E72</f>
        <v>81</v>
      </c>
      <c r="N72" s="35">
        <f>F72-лютий!F72</f>
        <v>783.51</v>
      </c>
      <c r="O72" s="47">
        <f t="shared" si="16"/>
        <v>702.51</v>
      </c>
      <c r="P72" s="50">
        <f>N72/M72*100</f>
        <v>967.2962962962963</v>
      </c>
      <c r="Q72" s="50">
        <f>N72-79.51</f>
        <v>704</v>
      </c>
      <c r="R72" s="126">
        <f>N72/79.51</f>
        <v>9.854232172053829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E73-лютий!E73</f>
        <v>0</v>
      </c>
      <c r="N73" s="35">
        <f>F73-лютий!F73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E74-лютий!E74</f>
        <v>0</v>
      </c>
      <c r="N74" s="35">
        <f>F74-лютий!F74</f>
        <v>0</v>
      </c>
      <c r="O74" s="47">
        <f t="shared" si="16"/>
        <v>0</v>
      </c>
      <c r="P74" s="50" t="e">
        <f aca="true" t="shared" si="20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950</v>
      </c>
      <c r="F75" s="143">
        <v>960.47</v>
      </c>
      <c r="G75" s="43">
        <f t="shared" si="12"/>
        <v>10.470000000000027</v>
      </c>
      <c r="H75" s="35">
        <f>F75/E75*100</f>
        <v>101.10210526315791</v>
      </c>
      <c r="I75" s="50">
        <f t="shared" si="14"/>
        <v>-3239.5299999999997</v>
      </c>
      <c r="J75" s="50">
        <f>F75/D75*100</f>
        <v>22.868333333333336</v>
      </c>
      <c r="K75" s="50">
        <f>F75-913.85</f>
        <v>46.620000000000005</v>
      </c>
      <c r="L75" s="50">
        <f>F75/913.85*100</f>
        <v>105.10149368058215</v>
      </c>
      <c r="M75" s="35">
        <f>E75-лютий!E75</f>
        <v>300</v>
      </c>
      <c r="N75" s="35">
        <f>F75-лютий!F75</f>
        <v>370.23</v>
      </c>
      <c r="O75" s="47">
        <f t="shared" si="16"/>
        <v>70.23000000000002</v>
      </c>
      <c r="P75" s="50">
        <f t="shared" si="20"/>
        <v>123.41</v>
      </c>
      <c r="Q75" s="50">
        <f>N75-277.38</f>
        <v>92.85000000000002</v>
      </c>
      <c r="R75" s="126">
        <f>N75/277.38</f>
        <v>1.3347393467445383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E76-лютий!E76</f>
        <v>0</v>
      </c>
      <c r="N76" s="35">
        <f>F76-лютий!F76</f>
        <v>0</v>
      </c>
      <c r="O76" s="47">
        <f t="shared" si="16"/>
        <v>0</v>
      </c>
      <c r="P76" s="50" t="e">
        <f t="shared" si="20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E77-лютий!E77</f>
        <v>0</v>
      </c>
      <c r="N77" s="35">
        <f>F77-лютий!F77</f>
        <v>0</v>
      </c>
      <c r="O77" s="47">
        <f t="shared" si="16"/>
        <v>0</v>
      </c>
      <c r="P77" s="50" t="e">
        <f t="shared" si="20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239.6</v>
      </c>
      <c r="G78" s="135">
        <f t="shared" si="12"/>
        <v>239.6</v>
      </c>
      <c r="H78" s="137"/>
      <c r="I78" s="136">
        <f t="shared" si="14"/>
        <v>239.6</v>
      </c>
      <c r="J78" s="136"/>
      <c r="K78" s="136">
        <f>F78-172.57</f>
        <v>67.03</v>
      </c>
      <c r="L78" s="138">
        <f>F78/172.57*100</f>
        <v>138.84220895868344</v>
      </c>
      <c r="M78" s="35">
        <f>E78-лютий!E78</f>
        <v>0</v>
      </c>
      <c r="N78" s="35">
        <f>F78-лютий!F78</f>
        <v>96.9</v>
      </c>
      <c r="O78" s="138">
        <f t="shared" si="16"/>
        <v>96.9</v>
      </c>
      <c r="P78" s="136"/>
      <c r="Q78" s="50">
        <f>N78-64.93</f>
        <v>31.97</v>
      </c>
      <c r="R78" s="126">
        <f>N78/64.93</f>
        <v>1.492376405359618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5</v>
      </c>
      <c r="F79" s="143">
        <v>0</v>
      </c>
      <c r="G79" s="43">
        <f t="shared" si="12"/>
        <v>-5</v>
      </c>
      <c r="H79" s="35"/>
      <c r="I79" s="50">
        <f t="shared" si="14"/>
        <v>-13</v>
      </c>
      <c r="J79" s="50"/>
      <c r="K79" s="50">
        <f>F79-13.19</f>
        <v>-13.19</v>
      </c>
      <c r="L79" s="50">
        <f>F79/13.19*100</f>
        <v>0</v>
      </c>
      <c r="M79" s="35">
        <f>E79-лютий!E79</f>
        <v>5</v>
      </c>
      <c r="N79" s="35">
        <f>F79-лютий!F79</f>
        <v>0</v>
      </c>
      <c r="O79" s="47">
        <f t="shared" si="16"/>
        <v>-5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6.2</v>
      </c>
      <c r="F80" s="143">
        <v>6.1</v>
      </c>
      <c r="G80" s="43">
        <f t="shared" si="12"/>
        <v>-0.10000000000000053</v>
      </c>
      <c r="H80" s="35">
        <f>F80/E80*100</f>
        <v>98.38709677419354</v>
      </c>
      <c r="I80" s="50">
        <f t="shared" si="14"/>
        <v>-20.4</v>
      </c>
      <c r="J80" s="50">
        <f>F80/D80*100</f>
        <v>23.0188679245283</v>
      </c>
      <c r="K80" s="50">
        <f>F80-5.91</f>
        <v>0.1899999999999995</v>
      </c>
      <c r="L80" s="50">
        <f>F80/5.91*100</f>
        <v>103.21489001692046</v>
      </c>
      <c r="M80" s="35">
        <f>E80-лютий!E80</f>
        <v>2.2</v>
      </c>
      <c r="N80" s="35">
        <f>F80-лютий!F80</f>
        <v>2.8</v>
      </c>
      <c r="O80" s="47">
        <f t="shared" si="16"/>
        <v>0.5999999999999996</v>
      </c>
      <c r="P80" s="50">
        <f t="shared" si="20"/>
        <v>127.27272727272725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F81-0.04</f>
        <v>-0.02</v>
      </c>
      <c r="L81" s="50"/>
      <c r="M81" s="35">
        <f>E81-лютий!E81</f>
        <v>0</v>
      </c>
      <c r="N81" s="35">
        <f>F81-лютий!F81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138700.78</v>
      </c>
      <c r="F82" s="18">
        <f>F8+F48+F80+F81</f>
        <v>147138.18</v>
      </c>
      <c r="G82" s="44">
        <f>F82-E82</f>
        <v>8437.399999999994</v>
      </c>
      <c r="H82" s="45">
        <f>F82/E82*100</f>
        <v>106.08316694397826</v>
      </c>
      <c r="I82" s="31">
        <f>F82-D82</f>
        <v>-382884.42</v>
      </c>
      <c r="J82" s="31">
        <f>F82/D82*100</f>
        <v>27.760736994988516</v>
      </c>
      <c r="K82" s="31">
        <f>K8+K48+K80+K81</f>
        <v>31196.692</v>
      </c>
      <c r="L82" s="31">
        <f>F82/115941.5*100</f>
        <v>126.90725926437038</v>
      </c>
      <c r="M82" s="18">
        <f>M8+M48+M80+M81</f>
        <v>57508.28</v>
      </c>
      <c r="N82" s="18">
        <f>N8+N48+N80+N81</f>
        <v>50896.76000000001</v>
      </c>
      <c r="O82" s="49">
        <f>N82-M82</f>
        <v>-6611.5199999999895</v>
      </c>
      <c r="P82" s="31">
        <f>N82/M82*100</f>
        <v>88.50335986400569</v>
      </c>
      <c r="Q82" s="31">
        <f>N82-34768</f>
        <v>16128.76000000001</v>
      </c>
      <c r="R82" s="171">
        <f>N82/34768</f>
        <v>1.4638966866083758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1" ref="G87:G95">F87-E87</f>
        <v>-14.65</v>
      </c>
      <c r="H87" s="35"/>
      <c r="I87" s="53">
        <f aca="true" t="shared" si="22" ref="I87:I94">F87-D87</f>
        <v>-14.65</v>
      </c>
      <c r="J87" s="53"/>
      <c r="K87" s="47">
        <f>F87-70.69</f>
        <v>-85.34</v>
      </c>
      <c r="L87" s="53"/>
      <c r="M87" s="35">
        <f>E87-лютий!E87</f>
        <v>0</v>
      </c>
      <c r="N87" s="35">
        <f>F87-лютий!F87</f>
        <v>0</v>
      </c>
      <c r="O87" s="47">
        <f aca="true" t="shared" si="23" ref="O87:O95">N87-M87</f>
        <v>0</v>
      </c>
      <c r="P87" s="53"/>
      <c r="Q87" s="53">
        <f>N87-24.53</f>
        <v>-24.53</v>
      </c>
      <c r="R87" s="129">
        <f>N87/24.53</f>
        <v>0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1"/>
        <v>-14.65</v>
      </c>
      <c r="H88" s="65"/>
      <c r="I88" s="54">
        <f t="shared" si="22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0</v>
      </c>
      <c r="O88" s="54">
        <f t="shared" si="23"/>
        <v>0</v>
      </c>
      <c r="P88" s="54"/>
      <c r="Q88" s="54">
        <f>N88-92.85</f>
        <v>-92.85</v>
      </c>
      <c r="R88" s="130">
        <f>N88/92.85</f>
        <v>0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1"/>
        <v>0</v>
      </c>
      <c r="H89" s="35" t="e">
        <f aca="true" t="shared" si="24" ref="H89:H95">F89/E89*100</f>
        <v>#DIV/0!</v>
      </c>
      <c r="I89" s="53">
        <f t="shared" si="22"/>
        <v>0</v>
      </c>
      <c r="J89" s="53" t="e">
        <f aca="true" t="shared" si="25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3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33.47</v>
      </c>
      <c r="G90" s="43">
        <f t="shared" si="21"/>
        <v>33.47</v>
      </c>
      <c r="H90" s="35"/>
      <c r="I90" s="53">
        <f t="shared" si="22"/>
        <v>-2466.53</v>
      </c>
      <c r="J90" s="53">
        <f t="shared" si="25"/>
        <v>1.3388</v>
      </c>
      <c r="K90" s="53">
        <f>F90-518.63</f>
        <v>-485.15999999999997</v>
      </c>
      <c r="L90" s="53">
        <f>F90/518.63*100</f>
        <v>6.453541060100649</v>
      </c>
      <c r="M90" s="35">
        <f>E90-лютий!E90</f>
        <v>0</v>
      </c>
      <c r="N90" s="35">
        <f>F90-лютий!F90</f>
        <v>33.39</v>
      </c>
      <c r="O90" s="47">
        <f t="shared" si="23"/>
        <v>33.39</v>
      </c>
      <c r="P90" s="53"/>
      <c r="Q90" s="53">
        <f>N90-0.04</f>
        <v>33.35</v>
      </c>
      <c r="R90" s="129">
        <f>N90/0.04</f>
        <v>834.75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538.13</v>
      </c>
      <c r="F91" s="146">
        <v>1409.78</v>
      </c>
      <c r="G91" s="43">
        <f t="shared" si="21"/>
        <v>871.65</v>
      </c>
      <c r="H91" s="35">
        <f t="shared" si="24"/>
        <v>261.97758905840595</v>
      </c>
      <c r="I91" s="53">
        <f t="shared" si="22"/>
        <v>-10166.22</v>
      </c>
      <c r="J91" s="53">
        <f t="shared" si="25"/>
        <v>12.178472702142363</v>
      </c>
      <c r="K91" s="53">
        <f>F91-1143.96</f>
        <v>265.81999999999994</v>
      </c>
      <c r="L91" s="53">
        <f>F91/1143.96*100</f>
        <v>123.23682646246372</v>
      </c>
      <c r="M91" s="35">
        <f>E91-лютий!E91</f>
        <v>182.152</v>
      </c>
      <c r="N91" s="35">
        <f>F91-лютий!F91</f>
        <v>995.66</v>
      </c>
      <c r="O91" s="47">
        <f t="shared" si="23"/>
        <v>813.508</v>
      </c>
      <c r="P91" s="53">
        <f>N91/M91*100</f>
        <v>546.6094250955247</v>
      </c>
      <c r="Q91" s="53">
        <f>N91-450.01</f>
        <v>545.65</v>
      </c>
      <c r="R91" s="129">
        <f>N91/450.01</f>
        <v>2.2125286104753226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296.2</v>
      </c>
      <c r="F92" s="146">
        <v>11.06</v>
      </c>
      <c r="G92" s="43">
        <f t="shared" si="21"/>
        <v>-285.14</v>
      </c>
      <c r="H92" s="35">
        <f t="shared" si="24"/>
        <v>3.733963538149899</v>
      </c>
      <c r="I92" s="53">
        <f t="shared" si="22"/>
        <v>-2988.94</v>
      </c>
      <c r="J92" s="53">
        <f t="shared" si="25"/>
        <v>0.36866666666666664</v>
      </c>
      <c r="K92" s="53">
        <f>F92-463.92</f>
        <v>-452.86</v>
      </c>
      <c r="L92" s="53">
        <f>F92/463.92*100</f>
        <v>2.384031729608553</v>
      </c>
      <c r="M92" s="35">
        <f>E92-лютий!E92</f>
        <v>148.1</v>
      </c>
      <c r="N92" s="35">
        <f>F92-лютий!F92</f>
        <v>12.66</v>
      </c>
      <c r="O92" s="47">
        <f t="shared" si="23"/>
        <v>-135.44</v>
      </c>
      <c r="P92" s="53">
        <f>N92/M92*100</f>
        <v>8.548278190411885</v>
      </c>
      <c r="Q92" s="53">
        <f>N92-1.05</f>
        <v>11.61</v>
      </c>
      <c r="R92" s="129">
        <f>N92/1.05</f>
        <v>12.057142857142857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834.3299999999999</v>
      </c>
      <c r="F93" s="145">
        <f>F90+F91+F92</f>
        <v>1454.31</v>
      </c>
      <c r="G93" s="55">
        <f t="shared" si="21"/>
        <v>619.98</v>
      </c>
      <c r="H93" s="65">
        <f t="shared" si="24"/>
        <v>174.3087267627917</v>
      </c>
      <c r="I93" s="54">
        <f t="shared" si="22"/>
        <v>-15621.69</v>
      </c>
      <c r="J93" s="54">
        <f t="shared" si="25"/>
        <v>8.51669009135629</v>
      </c>
      <c r="K93" s="54">
        <f>F93-1606.47</f>
        <v>-152.16000000000008</v>
      </c>
      <c r="L93" s="54">
        <f>F93/1606.47*100</f>
        <v>90.52830118209489</v>
      </c>
      <c r="M93" s="55">
        <f>M90+M91+M92</f>
        <v>330.25199999999995</v>
      </c>
      <c r="N93" s="55">
        <f>N90+N91+N92</f>
        <v>1041.71</v>
      </c>
      <c r="O93" s="54">
        <f t="shared" si="23"/>
        <v>711.4580000000001</v>
      </c>
      <c r="P93" s="54">
        <f>N93/M93*100</f>
        <v>315.42882404951376</v>
      </c>
      <c r="Q93" s="54">
        <f>N93-7985.28</f>
        <v>-6943.57</v>
      </c>
      <c r="R93" s="173">
        <f>N93/7985.28</f>
        <v>0.13045378496433438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4</v>
      </c>
      <c r="F94" s="146">
        <v>0</v>
      </c>
      <c r="G94" s="43">
        <f t="shared" si="21"/>
        <v>-4</v>
      </c>
      <c r="H94" s="35"/>
      <c r="I94" s="53">
        <f t="shared" si="22"/>
        <v>-35</v>
      </c>
      <c r="J94" s="53">
        <f t="shared" si="25"/>
        <v>0</v>
      </c>
      <c r="K94" s="53">
        <f>F94-4.36</f>
        <v>-4.36</v>
      </c>
      <c r="L94" s="53">
        <f>F94/4.36*100</f>
        <v>0</v>
      </c>
      <c r="M94" s="35">
        <f>E94-лютий!E94</f>
        <v>4</v>
      </c>
      <c r="N94" s="35">
        <f>F94-лютий!F94</f>
        <v>0</v>
      </c>
      <c r="O94" s="47">
        <f t="shared" si="23"/>
        <v>-4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1"/>
        <v>0</v>
      </c>
      <c r="H95" s="35" t="e">
        <f t="shared" si="24"/>
        <v>#DIV/0!</v>
      </c>
      <c r="I95" s="56"/>
      <c r="J95" s="56"/>
      <c r="K95" s="56"/>
      <c r="L95" s="53">
        <f>F95</f>
        <v>0</v>
      </c>
      <c r="M95" s="35">
        <f>E95-лютий!E95</f>
        <v>0</v>
      </c>
      <c r="N95" s="35">
        <f>F95-лютий!F95</f>
        <v>0</v>
      </c>
      <c r="O95" s="47">
        <f t="shared" si="23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E96-лютий!E96</f>
        <v>0</v>
      </c>
      <c r="N96" s="35">
        <f>F96-лютий!F96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0.58</v>
      </c>
      <c r="G97" s="43">
        <f>F97-E97</f>
        <v>0.58</v>
      </c>
      <c r="H97" s="35"/>
      <c r="I97" s="53">
        <f>F97-D97</f>
        <v>0.58</v>
      </c>
      <c r="J97" s="53"/>
      <c r="K97" s="53">
        <f>F97-(-0.36)</f>
        <v>0.94</v>
      </c>
      <c r="L97" s="53">
        <f>F97/(-0.36)*100</f>
        <v>-161.11111111111111</v>
      </c>
      <c r="M97" s="35">
        <f>E97-лютий!E97</f>
        <v>0</v>
      </c>
      <c r="N97" s="35">
        <f>F97-лютий!F97</f>
        <v>0.08999999999999997</v>
      </c>
      <c r="O97" s="47">
        <f>N97-M97</f>
        <v>0.08999999999999997</v>
      </c>
      <c r="P97" s="53"/>
      <c r="Q97" s="53">
        <f>N97-(-0.21)</f>
        <v>0.29999999999999993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4</v>
      </c>
      <c r="F98" s="145">
        <f>F94+F97+F96</f>
        <v>0.58</v>
      </c>
      <c r="G98" s="55">
        <f>F98-E98</f>
        <v>-3.42</v>
      </c>
      <c r="H98" s="65"/>
      <c r="I98" s="54">
        <f>F98-D98</f>
        <v>-53.42</v>
      </c>
      <c r="J98" s="54">
        <f>F98/D98*100</f>
        <v>1.074074074074074</v>
      </c>
      <c r="K98" s="54">
        <f>F98-8.69</f>
        <v>-8.11</v>
      </c>
      <c r="L98" s="54">
        <f>F98/8.69*100</f>
        <v>6.67433831990794</v>
      </c>
      <c r="M98" s="55">
        <f>M94+M97+M96</f>
        <v>4</v>
      </c>
      <c r="N98" s="55">
        <f>N94+N97+N96</f>
        <v>0.08999999999999997</v>
      </c>
      <c r="O98" s="54">
        <f>N98-M98</f>
        <v>-3.91</v>
      </c>
      <c r="P98" s="54"/>
      <c r="Q98" s="54">
        <f>N98-26.38</f>
        <v>-26.29</v>
      </c>
      <c r="R98" s="128">
        <f>N98/26.38</f>
        <v>0.0034116755117513256</v>
      </c>
    </row>
    <row r="99" spans="2:18" ht="31.5">
      <c r="B99" s="14" t="s">
        <v>125</v>
      </c>
      <c r="C99" s="59">
        <v>24110900</v>
      </c>
      <c r="D99" s="167">
        <v>42</v>
      </c>
      <c r="E99" s="28">
        <v>11.59</v>
      </c>
      <c r="F99" s="146">
        <v>12.95</v>
      </c>
      <c r="G99" s="43">
        <f>F99-E99</f>
        <v>1.3599999999999994</v>
      </c>
      <c r="H99" s="35">
        <f>F99/E99*100</f>
        <v>111.73425366695426</v>
      </c>
      <c r="I99" s="53">
        <f>F99-D99</f>
        <v>-29.05</v>
      </c>
      <c r="J99" s="53">
        <f>F99/D99*100</f>
        <v>30.83333333333333</v>
      </c>
      <c r="K99" s="53">
        <f>F99-10.97</f>
        <v>1.9799999999999986</v>
      </c>
      <c r="L99" s="53">
        <f>F99/10.97*100</f>
        <v>118.04922515952596</v>
      </c>
      <c r="M99" s="35">
        <f>E99-лютий!E99</f>
        <v>9</v>
      </c>
      <c r="N99" s="35">
        <f>F99-лютий!F99</f>
        <v>11.989999999999998</v>
      </c>
      <c r="O99" s="47">
        <f>N99-M99</f>
        <v>2.9899999999999984</v>
      </c>
      <c r="P99" s="53">
        <f>N99/M99*100</f>
        <v>133.2222222222222</v>
      </c>
      <c r="Q99" s="53">
        <f>N99-0.45</f>
        <v>11.54</v>
      </c>
      <c r="R99" s="129">
        <f>N99/0.45</f>
        <v>26.64444444444444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849.92</v>
      </c>
      <c r="F100" s="27">
        <f>F88+F99+F93+F98</f>
        <v>1453.1899999999998</v>
      </c>
      <c r="G100" s="44">
        <f>F100-E100</f>
        <v>603.2699999999999</v>
      </c>
      <c r="H100" s="45">
        <f>F100/E100*100</f>
        <v>170.97962161144576</v>
      </c>
      <c r="I100" s="31">
        <f>F100-D100</f>
        <v>-15718.81</v>
      </c>
      <c r="J100" s="31">
        <f>F100/D100*100</f>
        <v>8.462555322618215</v>
      </c>
      <c r="K100" s="31">
        <f>K88+K93+K98+K99</f>
        <v>-165.7900000000001</v>
      </c>
      <c r="L100" s="31"/>
      <c r="M100" s="27">
        <f>M88+M99+M93+M98</f>
        <v>343.25199999999995</v>
      </c>
      <c r="N100" s="27">
        <f>N88+N99+N93+N98</f>
        <v>1053.79</v>
      </c>
      <c r="O100" s="31">
        <f>N100-M100</f>
        <v>710.538</v>
      </c>
      <c r="P100" s="31">
        <f>N100/M100*100</f>
        <v>307.0018528661159</v>
      </c>
      <c r="Q100" s="31">
        <f>N100-8104.96</f>
        <v>-7051.17</v>
      </c>
      <c r="R100" s="127">
        <f>N100/8104.96</f>
        <v>0.13001791495578016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139550.7</v>
      </c>
      <c r="F101" s="27">
        <f>F82+F100</f>
        <v>148591.37</v>
      </c>
      <c r="G101" s="44">
        <f>F101-E101</f>
        <v>9040.669999999984</v>
      </c>
      <c r="H101" s="45">
        <f>F101/E101*100</f>
        <v>106.47841250527586</v>
      </c>
      <c r="I101" s="31">
        <f>F101-D101</f>
        <v>-398603.23</v>
      </c>
      <c r="J101" s="31">
        <f>F101/D101*100</f>
        <v>27.15512360684846</v>
      </c>
      <c r="K101" s="31">
        <f>K82+K100</f>
        <v>31030.902</v>
      </c>
      <c r="L101" s="31"/>
      <c r="M101" s="18">
        <f>M82+M100</f>
        <v>57851.532</v>
      </c>
      <c r="N101" s="18">
        <f>N82+N100</f>
        <v>51950.55000000001</v>
      </c>
      <c r="O101" s="31">
        <f>N101-M101</f>
        <v>-5900.981999999989</v>
      </c>
      <c r="P101" s="31">
        <f>N101/M101*100</f>
        <v>89.79978265744114</v>
      </c>
      <c r="Q101" s="31">
        <f>N101-42872.96</f>
        <v>9077.590000000011</v>
      </c>
      <c r="R101" s="127">
        <f>N101/42872.96</f>
        <v>1.2117322900028364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 t="e">
        <f>IF(O82&lt;0,ABS(O82/C103),0)</f>
        <v>#DIV/0!</v>
      </c>
      <c r="D104" s="4" t="s">
        <v>104</v>
      </c>
      <c r="G104" s="231"/>
      <c r="H104" s="231"/>
      <c r="I104" s="231"/>
      <c r="J104" s="231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42094</v>
      </c>
      <c r="D105" s="34">
        <v>2319.1</v>
      </c>
      <c r="N105" s="232"/>
      <c r="O105" s="232"/>
    </row>
    <row r="106" spans="3:15" ht="15.75">
      <c r="C106" s="111">
        <v>42093</v>
      </c>
      <c r="D106" s="34">
        <v>8025</v>
      </c>
      <c r="F106" s="155" t="s">
        <v>166</v>
      </c>
      <c r="G106" s="233"/>
      <c r="H106" s="233"/>
      <c r="I106" s="177"/>
      <c r="J106" s="234"/>
      <c r="K106" s="234"/>
      <c r="L106" s="234"/>
      <c r="M106" s="234"/>
      <c r="N106" s="232"/>
      <c r="O106" s="232"/>
    </row>
    <row r="107" spans="3:15" ht="15.75" customHeight="1">
      <c r="C107" s="111">
        <v>42090</v>
      </c>
      <c r="D107" s="34">
        <v>4282.6</v>
      </c>
      <c r="G107" s="238" t="s">
        <v>151</v>
      </c>
      <c r="H107" s="238"/>
      <c r="I107" s="106">
        <f>8909732.21/1000</f>
        <v>8909.73221</v>
      </c>
      <c r="J107" s="239"/>
      <c r="K107" s="239"/>
      <c r="L107" s="239"/>
      <c r="M107" s="239"/>
      <c r="N107" s="232"/>
      <c r="O107" s="232"/>
    </row>
    <row r="108" spans="7:13" ht="15.75" customHeight="1">
      <c r="G108" s="240" t="s">
        <v>234</v>
      </c>
      <c r="H108" s="241"/>
      <c r="I108" s="103">
        <v>0</v>
      </c>
      <c r="J108" s="234"/>
      <c r="K108" s="234"/>
      <c r="L108" s="234"/>
      <c r="M108" s="234"/>
    </row>
    <row r="109" spans="2:13" ht="18.75" customHeight="1">
      <c r="B109" s="242" t="s">
        <v>160</v>
      </c>
      <c r="C109" s="243"/>
      <c r="D109" s="108">
        <f>147433239.77/1000</f>
        <v>147433.23977000001</v>
      </c>
      <c r="E109" s="73"/>
      <c r="F109" s="156" t="s">
        <v>147</v>
      </c>
      <c r="G109" s="238" t="s">
        <v>149</v>
      </c>
      <c r="H109" s="238"/>
      <c r="I109" s="107">
        <f>138523507.56/1000</f>
        <v>138523.50756</v>
      </c>
      <c r="J109" s="234"/>
      <c r="K109" s="234"/>
      <c r="L109" s="234"/>
      <c r="M109" s="234"/>
    </row>
    <row r="110" spans="7:12" ht="9.75" customHeight="1">
      <c r="G110" s="233"/>
      <c r="H110" s="233"/>
      <c r="I110" s="90"/>
      <c r="J110" s="91"/>
      <c r="K110" s="91"/>
      <c r="L110" s="91"/>
    </row>
    <row r="111" spans="2:12" ht="22.5" customHeight="1" hidden="1">
      <c r="B111" s="244" t="s">
        <v>167</v>
      </c>
      <c r="C111" s="245"/>
      <c r="D111" s="110">
        <v>0</v>
      </c>
      <c r="E111" s="70" t="s">
        <v>104</v>
      </c>
      <c r="G111" s="233"/>
      <c r="H111" s="233"/>
      <c r="I111" s="90"/>
      <c r="J111" s="91"/>
      <c r="K111" s="91"/>
      <c r="L111" s="91"/>
    </row>
    <row r="112" spans="4:15" ht="15.75">
      <c r="D112" s="105"/>
      <c r="N112" s="233"/>
      <c r="O112" s="233"/>
    </row>
    <row r="113" spans="4:15" ht="15.75">
      <c r="D113" s="104"/>
      <c r="I113" s="34"/>
      <c r="N113" s="246"/>
      <c r="O113" s="246"/>
    </row>
    <row r="114" spans="14:15" ht="15.75">
      <c r="N114" s="233"/>
      <c r="O114" s="233"/>
    </row>
  </sheetData>
  <mergeCells count="39">
    <mergeCell ref="N114:O114"/>
    <mergeCell ref="B111:C111"/>
    <mergeCell ref="G111:H111"/>
    <mergeCell ref="N112:O112"/>
    <mergeCell ref="N113:O113"/>
    <mergeCell ref="B109:C109"/>
    <mergeCell ref="G109:H109"/>
    <mergeCell ref="J109:M109"/>
    <mergeCell ref="G110:H110"/>
    <mergeCell ref="G107:H107"/>
    <mergeCell ref="J107:M107"/>
    <mergeCell ref="N107:O107"/>
    <mergeCell ref="G108:H108"/>
    <mergeCell ref="J108:M108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2" right="0.18" top="0.22" bottom="0.36" header="0.17" footer="0.29"/>
  <pageSetup fitToHeight="1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D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42" sqref="F4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05" t="s">
        <v>227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117"/>
      <c r="R1" s="118"/>
    </row>
    <row r="2" spans="2:18" s="1" customFormat="1" ht="15.75" customHeight="1">
      <c r="B2" s="206"/>
      <c r="C2" s="206"/>
      <c r="D2" s="206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07"/>
      <c r="B3" s="209" t="s">
        <v>205</v>
      </c>
      <c r="C3" s="210" t="s">
        <v>0</v>
      </c>
      <c r="D3" s="211" t="s">
        <v>216</v>
      </c>
      <c r="E3" s="40"/>
      <c r="F3" s="212" t="s">
        <v>107</v>
      </c>
      <c r="G3" s="213"/>
      <c r="H3" s="213"/>
      <c r="I3" s="213"/>
      <c r="J3" s="214"/>
      <c r="K3" s="114"/>
      <c r="L3" s="114"/>
      <c r="M3" s="215" t="s">
        <v>221</v>
      </c>
      <c r="N3" s="218" t="s">
        <v>202</v>
      </c>
      <c r="O3" s="218"/>
      <c r="P3" s="218"/>
      <c r="Q3" s="218"/>
      <c r="R3" s="218"/>
    </row>
    <row r="4" spans="1:18" ht="22.5" customHeight="1">
      <c r="A4" s="207"/>
      <c r="B4" s="209"/>
      <c r="C4" s="210"/>
      <c r="D4" s="211"/>
      <c r="E4" s="219" t="s">
        <v>199</v>
      </c>
      <c r="F4" s="223" t="s">
        <v>116</v>
      </c>
      <c r="G4" s="225" t="s">
        <v>200</v>
      </c>
      <c r="H4" s="227" t="s">
        <v>201</v>
      </c>
      <c r="I4" s="229" t="s">
        <v>217</v>
      </c>
      <c r="J4" s="216" t="s">
        <v>218</v>
      </c>
      <c r="K4" s="116" t="s">
        <v>172</v>
      </c>
      <c r="L4" s="121" t="s">
        <v>171</v>
      </c>
      <c r="M4" s="216"/>
      <c r="N4" s="235" t="s">
        <v>226</v>
      </c>
      <c r="O4" s="229" t="s">
        <v>136</v>
      </c>
      <c r="P4" s="237" t="s">
        <v>135</v>
      </c>
      <c r="Q4" s="122" t="s">
        <v>172</v>
      </c>
      <c r="R4" s="123" t="s">
        <v>171</v>
      </c>
    </row>
    <row r="5" spans="1:19" ht="92.25" customHeight="1">
      <c r="A5" s="208"/>
      <c r="B5" s="209"/>
      <c r="C5" s="210"/>
      <c r="D5" s="211"/>
      <c r="E5" s="220"/>
      <c r="F5" s="224"/>
      <c r="G5" s="226"/>
      <c r="H5" s="228"/>
      <c r="I5" s="230"/>
      <c r="J5" s="217"/>
      <c r="K5" s="221" t="s">
        <v>224</v>
      </c>
      <c r="L5" s="222"/>
      <c r="M5" s="217"/>
      <c r="N5" s="236"/>
      <c r="O5" s="230"/>
      <c r="P5" s="237"/>
      <c r="Q5" s="221" t="s">
        <v>176</v>
      </c>
      <c r="R5" s="222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79108</v>
      </c>
      <c r="F8" s="18">
        <f>F10+F19+F30+F33+F34+F42</f>
        <v>91354.40000000001</v>
      </c>
      <c r="G8" s="18">
        <f aca="true" t="shared" si="0" ref="G8:G42">F8-E8</f>
        <v>12246.400000000009</v>
      </c>
      <c r="H8" s="45">
        <f>F8/E8*100</f>
        <v>115.48060878798606</v>
      </c>
      <c r="I8" s="31">
        <f aca="true" t="shared" si="1" ref="I8:I42">F8-D8</f>
        <v>-426074.6</v>
      </c>
      <c r="J8" s="31">
        <f aca="true" t="shared" si="2" ref="J8:J14">F8/D8*100</f>
        <v>17.655446447725197</v>
      </c>
      <c r="K8" s="18">
        <f>K10+K19+K30+K33+K34+K42</f>
        <v>12567.778000000004</v>
      </c>
      <c r="L8" s="18"/>
      <c r="M8" s="18">
        <f>M10+M19+M30+M33+M34+M42</f>
        <v>44056.1</v>
      </c>
      <c r="N8" s="18">
        <f>N10+N19+N30+N33+N34+N42</f>
        <v>53640.083999999995</v>
      </c>
      <c r="O8" s="31">
        <f aca="true" t="shared" si="3" ref="O8:O45">N8-M8</f>
        <v>9583.983999999997</v>
      </c>
      <c r="P8" s="31">
        <f>F8/M8*100</f>
        <v>207.35925331565892</v>
      </c>
      <c r="Q8" s="31">
        <f>N8-33748.16</f>
        <v>19891.92399999999</v>
      </c>
      <c r="R8" s="125">
        <f>N8/33748.16</f>
        <v>1.5894224751808688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49687.49</v>
      </c>
      <c r="G9" s="18">
        <f t="shared" si="0"/>
        <v>49687.49</v>
      </c>
      <c r="H9" s="16"/>
      <c r="I9" s="50">
        <f t="shared" si="1"/>
        <v>-263002.51</v>
      </c>
      <c r="J9" s="50">
        <f t="shared" si="2"/>
        <v>15.890335476030574</v>
      </c>
      <c r="K9" s="50"/>
      <c r="L9" s="50"/>
      <c r="M9" s="16">
        <f>M10+M17</f>
        <v>23924</v>
      </c>
      <c r="N9" s="16">
        <f>N10+N17</f>
        <v>26478.113999999994</v>
      </c>
      <c r="O9" s="31">
        <f t="shared" si="3"/>
        <v>2554.113999999994</v>
      </c>
      <c r="P9" s="50">
        <f>F9/M9*100</f>
        <v>207.68888981775623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44929.4</v>
      </c>
      <c r="F10" s="143">
        <v>49687.49</v>
      </c>
      <c r="G10" s="43">
        <f t="shared" si="0"/>
        <v>4758.0899999999965</v>
      </c>
      <c r="H10" s="35">
        <f aca="true" t="shared" si="4" ref="H10:H42">F10/E10*100</f>
        <v>110.59014809901757</v>
      </c>
      <c r="I10" s="50">
        <f t="shared" si="1"/>
        <v>-263002.51</v>
      </c>
      <c r="J10" s="50">
        <f t="shared" si="2"/>
        <v>15.890335476030574</v>
      </c>
      <c r="K10" s="132">
        <f>F10-54745.99/75*60</f>
        <v>5890.698000000004</v>
      </c>
      <c r="L10" s="132">
        <f>F10/(54745.99/75*60)*100</f>
        <v>113.45006730173297</v>
      </c>
      <c r="M10" s="35">
        <f>E10-'січень-2'!E10</f>
        <v>23924</v>
      </c>
      <c r="N10" s="35">
        <f>F10-'січень-2'!F10</f>
        <v>26478.113999999994</v>
      </c>
      <c r="O10" s="47">
        <f t="shared" si="3"/>
        <v>2554.113999999994</v>
      </c>
      <c r="P10" s="50">
        <f aca="true" t="shared" si="5" ref="P10:P42">N10/M10*100</f>
        <v>110.67594883798692</v>
      </c>
      <c r="Q10" s="132">
        <f>N10-26568.11</f>
        <v>-89.99600000000646</v>
      </c>
      <c r="R10" s="133">
        <f>N10/26568.11</f>
        <v>0.9966126307065122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E11-'січень-2'!E11</f>
        <v>0</v>
      </c>
      <c r="N11" s="35">
        <f>F11-'січень-2'!F11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E12-'січень-2'!E12</f>
        <v>0</v>
      </c>
      <c r="N12" s="35">
        <f>F12-'січень-2'!F12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E13-'січень-2'!E13</f>
        <v>0</v>
      </c>
      <c r="N13" s="35">
        <f>F13-'січень-2'!F13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E14-'січень-2'!E14</f>
        <v>0</v>
      </c>
      <c r="N14" s="35">
        <f>F14-'січень-2'!F14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E15-'січень-2'!E15</f>
        <v>0</v>
      </c>
      <c r="N15" s="35">
        <f>F15-'січень-2'!F15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E16-'січень-2'!E16</f>
        <v>0</v>
      </c>
      <c r="N16" s="35">
        <f>F16-'січень-2'!F16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E17-'січень-2'!E17</f>
        <v>0</v>
      </c>
      <c r="N17" s="35">
        <f>F17-'січень-2'!F17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E18-'січень-2'!E18</f>
        <v>0</v>
      </c>
      <c r="N18" s="35">
        <f>F18-'січень-2'!F18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-976.48</v>
      </c>
      <c r="G19" s="43">
        <f t="shared" si="0"/>
        <v>-976.48</v>
      </c>
      <c r="H19" s="35"/>
      <c r="I19" s="50">
        <f t="shared" si="1"/>
        <v>-1476.48</v>
      </c>
      <c r="J19" s="50">
        <f aca="true" t="shared" si="6" ref="J19:J30">F19/D19*100</f>
        <v>-195.296</v>
      </c>
      <c r="K19" s="50">
        <f>F19-739.11</f>
        <v>-1715.5900000000001</v>
      </c>
      <c r="L19" s="50">
        <f>F19/739.11*100</f>
        <v>-132.1156526092192</v>
      </c>
      <c r="M19" s="35">
        <f>E19-'січень-2'!E19</f>
        <v>0</v>
      </c>
      <c r="N19" s="35">
        <f>F19-'січень-2'!F19</f>
        <v>-410.14</v>
      </c>
      <c r="O19" s="47">
        <f t="shared" si="3"/>
        <v>-410.14</v>
      </c>
      <c r="P19" s="50"/>
      <c r="Q19" s="50">
        <f>N19-358.81</f>
        <v>-768.95</v>
      </c>
      <c r="R19" s="126">
        <f>N19/358.81</f>
        <v>-1.1430562135949387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E20-'січень-2'!E20</f>
        <v>0</v>
      </c>
      <c r="N20" s="35">
        <f>F20-'січень-2'!F20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E21-'січень-2'!E21</f>
        <v>0</v>
      </c>
      <c r="N21" s="35">
        <f>F21-'січень-2'!F21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E22-'січень-2'!E22</f>
        <v>0</v>
      </c>
      <c r="N22" s="35">
        <f>F22-'січень-2'!F22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E23-'січень-2'!E23</f>
        <v>0</v>
      </c>
      <c r="N23" s="35">
        <f>F23-'січень-2'!F23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E24-'січень-2'!E24</f>
        <v>0</v>
      </c>
      <c r="N24" s="35">
        <f>F24-'січень-2'!F24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E25-'січень-2'!E25</f>
        <v>0</v>
      </c>
      <c r="N25" s="35">
        <f>F25-'січень-2'!F25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E26-'січень-2'!E26</f>
        <v>0</v>
      </c>
      <c r="N26" s="35">
        <f>F26-'січень-2'!F26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E27-'січень-2'!E27</f>
        <v>0</v>
      </c>
      <c r="N27" s="35">
        <f>F27-'січень-2'!F27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E28-'січень-2'!E28</f>
        <v>0</v>
      </c>
      <c r="N28" s="35">
        <f>F28-'січень-2'!F28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-902.39</v>
      </c>
      <c r="G29" s="135">
        <f t="shared" si="0"/>
        <v>-902.39</v>
      </c>
      <c r="H29" s="137"/>
      <c r="I29" s="136">
        <f t="shared" si="1"/>
        <v>-902.39</v>
      </c>
      <c r="J29" s="136"/>
      <c r="K29" s="136">
        <f>F29-717.64</f>
        <v>-1620.03</v>
      </c>
      <c r="L29" s="136">
        <f>F29/717.64*100</f>
        <v>-125.74410567972801</v>
      </c>
      <c r="M29" s="137">
        <f>E29-'січень-2'!E29</f>
        <v>0</v>
      </c>
      <c r="N29" s="137">
        <f>F29-'січень-2'!F29</f>
        <v>-464.03999999999996</v>
      </c>
      <c r="O29" s="138">
        <f t="shared" si="3"/>
        <v>-464.03999999999996</v>
      </c>
      <c r="P29" s="50"/>
      <c r="Q29" s="136">
        <f>N29-358.81</f>
        <v>-822.8499999999999</v>
      </c>
      <c r="R29" s="141">
        <f>N29/358.79</f>
        <v>-1.2933470832520415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E30-'січень-2'!E30</f>
        <v>13</v>
      </c>
      <c r="N30" s="35">
        <f>F30-'січень-2'!F30</f>
        <v>15.680000000000001</v>
      </c>
      <c r="O30" s="47">
        <f t="shared" si="3"/>
        <v>2.6800000000000015</v>
      </c>
      <c r="P30" s="50">
        <f t="shared" si="5"/>
        <v>120.61538461538464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E31-'січень-2'!E31</f>
        <v>0</v>
      </c>
      <c r="N31" s="35">
        <f>F31-'січень-2'!F31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E32-'січень-2'!E32</f>
        <v>0</v>
      </c>
      <c r="N32" s="35">
        <f>F32-'січень-2'!F32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2720</v>
      </c>
      <c r="F33" s="168">
        <v>3525.12</v>
      </c>
      <c r="G33" s="43">
        <f t="shared" si="0"/>
        <v>805.1199999999999</v>
      </c>
      <c r="H33" s="35">
        <f t="shared" si="4"/>
        <v>129.6</v>
      </c>
      <c r="I33" s="50">
        <f t="shared" si="1"/>
        <v>-26424.88</v>
      </c>
      <c r="J33" s="178">
        <f>F33/D33*100</f>
        <v>11.770016694490817</v>
      </c>
      <c r="K33" s="179">
        <f>F33-0</f>
        <v>3525.12</v>
      </c>
      <c r="L33" s="180"/>
      <c r="M33" s="35">
        <f>E33-'січень-2'!E33</f>
        <v>2720</v>
      </c>
      <c r="N33" s="35">
        <f>F33-'січень-2'!F33</f>
        <v>3525.12</v>
      </c>
      <c r="O33" s="47">
        <f t="shared" si="3"/>
        <v>805.1199999999999</v>
      </c>
      <c r="P33" s="50">
        <f t="shared" si="5"/>
        <v>129.6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29460.5</v>
      </c>
      <c r="F34" s="169">
        <f>F35+F39+F41+F40</f>
        <v>37103.229999999996</v>
      </c>
      <c r="G34" s="43">
        <f t="shared" si="0"/>
        <v>7642.729999999996</v>
      </c>
      <c r="H34" s="35">
        <f t="shared" si="4"/>
        <v>125.94229561616402</v>
      </c>
      <c r="I34" s="50">
        <f t="shared" si="1"/>
        <v>-129666.77</v>
      </c>
      <c r="J34" s="178">
        <f aca="true" t="shared" si="11" ref="J34:J42">F34/D34*100</f>
        <v>22.248144150626608</v>
      </c>
      <c r="K34" s="178">
        <f>K35+K39+K40+K41</f>
        <v>6340.0599999999995</v>
      </c>
      <c r="L34" s="136"/>
      <c r="M34" s="35">
        <f>E34-'січень-2'!E34</f>
        <v>15424</v>
      </c>
      <c r="N34" s="35">
        <f>F34-'січень-2'!F34</f>
        <v>22040.96</v>
      </c>
      <c r="O34" s="47">
        <f t="shared" si="3"/>
        <v>6616.959999999999</v>
      </c>
      <c r="P34" s="50">
        <f t="shared" si="5"/>
        <v>142.90041493775934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13754.5</v>
      </c>
      <c r="F35" s="169">
        <f>F36+F37+F38</f>
        <v>15266.79</v>
      </c>
      <c r="G35" s="43">
        <f t="shared" si="0"/>
        <v>1512.2900000000009</v>
      </c>
      <c r="H35" s="35">
        <f t="shared" si="4"/>
        <v>110.99487440474027</v>
      </c>
      <c r="I35" s="50">
        <f t="shared" si="1"/>
        <v>-82933.20999999999</v>
      </c>
      <c r="J35" s="178">
        <f t="shared" si="11"/>
        <v>15.546629327902242</v>
      </c>
      <c r="K35" s="178">
        <f>K36+K37+K38</f>
        <v>2452.4000000000005</v>
      </c>
      <c r="L35" s="136"/>
      <c r="M35" s="35">
        <f>E35-'січень-2'!E35</f>
        <v>7220</v>
      </c>
      <c r="N35" s="35">
        <f>F35-'січень-2'!F35</f>
        <v>8684.11</v>
      </c>
      <c r="O35" s="47">
        <f t="shared" si="3"/>
        <v>1464.1100000000006</v>
      </c>
      <c r="P35" s="50">
        <f t="shared" si="5"/>
        <v>120.27853185595569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104.5</v>
      </c>
      <c r="F36" s="144">
        <v>306.01</v>
      </c>
      <c r="G36" s="135">
        <f t="shared" si="0"/>
        <v>201.51</v>
      </c>
      <c r="H36" s="137">
        <f t="shared" si="4"/>
        <v>292.8325358851675</v>
      </c>
      <c r="I36" s="136">
        <f t="shared" si="1"/>
        <v>-693.99</v>
      </c>
      <c r="J36" s="136">
        <f t="shared" si="11"/>
        <v>30.601</v>
      </c>
      <c r="K36" s="136">
        <f>F36-57.39</f>
        <v>248.62</v>
      </c>
      <c r="L36" s="136">
        <f>F36/57.39*100</f>
        <v>533.211360864262</v>
      </c>
      <c r="M36" s="137">
        <f>E36-'січень-2'!E36</f>
        <v>20</v>
      </c>
      <c r="N36" s="137">
        <f>F36-'січень-2'!F36</f>
        <v>221.33999999999997</v>
      </c>
      <c r="O36" s="47">
        <f t="shared" si="3"/>
        <v>201.33999999999997</v>
      </c>
      <c r="P36" s="50">
        <f t="shared" si="5"/>
        <v>1106.6999999999998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6.25</v>
      </c>
      <c r="G37" s="135">
        <f t="shared" si="0"/>
        <v>6.25</v>
      </c>
      <c r="H37" s="137"/>
      <c r="I37" s="136">
        <f t="shared" si="1"/>
        <v>-1493.75</v>
      </c>
      <c r="J37" s="136">
        <f t="shared" si="11"/>
        <v>0.4166666666666667</v>
      </c>
      <c r="K37" s="136">
        <f>F37-0</f>
        <v>6.25</v>
      </c>
      <c r="L37" s="136"/>
      <c r="M37" s="137">
        <f>E37-'січень-2'!E37</f>
        <v>0</v>
      </c>
      <c r="N37" s="137">
        <f>F37-'січень-2'!F37</f>
        <v>6.25</v>
      </c>
      <c r="O37" s="47">
        <f t="shared" si="3"/>
        <v>6.25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13650</v>
      </c>
      <c r="F38" s="144">
        <v>14954.53</v>
      </c>
      <c r="G38" s="135">
        <f t="shared" si="0"/>
        <v>1304.5300000000007</v>
      </c>
      <c r="H38" s="137">
        <f t="shared" si="4"/>
        <v>109.55699633699633</v>
      </c>
      <c r="I38" s="136">
        <f t="shared" si="1"/>
        <v>-80745.47</v>
      </c>
      <c r="J38" s="136">
        <f t="shared" si="11"/>
        <v>15.626468129571577</v>
      </c>
      <c r="K38" s="139">
        <f>F38-12757</f>
        <v>2197.5300000000007</v>
      </c>
      <c r="L38" s="139">
        <f>F38/12757*100</f>
        <v>117.22607196049228</v>
      </c>
      <c r="M38" s="137">
        <f>E38-'січень-2'!E38</f>
        <v>7200</v>
      </c>
      <c r="N38" s="137">
        <f>F38-'січень-2'!F38</f>
        <v>8456.52</v>
      </c>
      <c r="O38" s="47">
        <f t="shared" si="3"/>
        <v>1256.5200000000004</v>
      </c>
      <c r="P38" s="50">
        <f t="shared" si="5"/>
        <v>117.45166666666667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6</v>
      </c>
      <c r="F39" s="168">
        <v>14.22</v>
      </c>
      <c r="G39" s="43">
        <f t="shared" si="0"/>
        <v>8.22</v>
      </c>
      <c r="H39" s="35">
        <f t="shared" si="4"/>
        <v>237</v>
      </c>
      <c r="I39" s="50">
        <f t="shared" si="1"/>
        <v>-55.78</v>
      </c>
      <c r="J39" s="178">
        <f t="shared" si="11"/>
        <v>20.314285714285717</v>
      </c>
      <c r="K39" s="178">
        <f>F39-15.44</f>
        <v>-1.2199999999999989</v>
      </c>
      <c r="L39" s="178">
        <f>F39/15.44*100</f>
        <v>92.09844559585493</v>
      </c>
      <c r="M39" s="35">
        <f>E39-'січень-2'!E39</f>
        <v>4</v>
      </c>
      <c r="N39" s="35">
        <f>F39-'січень-2'!F39</f>
        <v>11.82</v>
      </c>
      <c r="O39" s="47">
        <f t="shared" si="3"/>
        <v>7.82</v>
      </c>
      <c r="P39" s="50">
        <f t="shared" si="5"/>
        <v>295.5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87.67</v>
      </c>
      <c r="G40" s="43">
        <f t="shared" si="0"/>
        <v>87.67</v>
      </c>
      <c r="H40" s="35"/>
      <c r="I40" s="50">
        <f t="shared" si="1"/>
        <v>87.67</v>
      </c>
      <c r="J40" s="136"/>
      <c r="K40" s="178">
        <f>F40-1052</f>
        <v>-964.33</v>
      </c>
      <c r="L40" s="178">
        <f>F40/1052*100</f>
        <v>8.333650190114069</v>
      </c>
      <c r="M40" s="35">
        <f>E40-'січень-2'!E40</f>
        <v>0</v>
      </c>
      <c r="N40" s="35">
        <f>F40-'січень-2'!F40</f>
        <v>-55.040000000000006</v>
      </c>
      <c r="O40" s="47">
        <f t="shared" si="3"/>
        <v>-55.040000000000006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15700</v>
      </c>
      <c r="F41" s="168">
        <v>21734.55</v>
      </c>
      <c r="G41" s="43">
        <f t="shared" si="0"/>
        <v>6034.549999999999</v>
      </c>
      <c r="H41" s="35">
        <f t="shared" si="4"/>
        <v>138.43662420382165</v>
      </c>
      <c r="I41" s="50">
        <f t="shared" si="1"/>
        <v>-46765.45</v>
      </c>
      <c r="J41" s="178">
        <f t="shared" si="11"/>
        <v>31.729270072992698</v>
      </c>
      <c r="K41" s="132">
        <f>F41-16881.34</f>
        <v>4853.209999999999</v>
      </c>
      <c r="L41" s="132">
        <f>F41/16881.34*100</f>
        <v>128.7489618715102</v>
      </c>
      <c r="M41" s="35">
        <f>E41-'січень-2'!E41</f>
        <v>8200</v>
      </c>
      <c r="N41" s="35">
        <f>F41-'січень-2'!F41</f>
        <v>13400.07</v>
      </c>
      <c r="O41" s="47">
        <f t="shared" si="3"/>
        <v>5200.07</v>
      </c>
      <c r="P41" s="50">
        <f t="shared" si="5"/>
        <v>163.41548780487804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1985.1</v>
      </c>
      <c r="F42" s="168">
        <v>1999.24</v>
      </c>
      <c r="G42" s="43">
        <f t="shared" si="0"/>
        <v>14.1400000000001</v>
      </c>
      <c r="H42" s="35">
        <f t="shared" si="4"/>
        <v>100.71230668480177</v>
      </c>
      <c r="I42" s="50">
        <f t="shared" si="1"/>
        <v>-5500.76</v>
      </c>
      <c r="J42" s="136">
        <f t="shared" si="11"/>
        <v>26.656533333333332</v>
      </c>
      <c r="K42" s="178">
        <f>F42-3484.64</f>
        <v>-1485.3999999999999</v>
      </c>
      <c r="L42" s="178">
        <f>F42/3484.64*100</f>
        <v>57.372928049956386</v>
      </c>
      <c r="M42" s="35">
        <f>E42-'січень-2'!E42</f>
        <v>1975.1</v>
      </c>
      <c r="N42" s="35">
        <f>F42-'січень-2'!F42</f>
        <v>1990.35</v>
      </c>
      <c r="O42" s="47">
        <f t="shared" si="3"/>
        <v>15.25</v>
      </c>
      <c r="P42" s="50">
        <f t="shared" si="5"/>
        <v>100.77211280441496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2080.5</v>
      </c>
      <c r="F48" s="18">
        <f>F51+F60+F61+F62+F63+F71+F72+F73+F75+F79+F70+F69</f>
        <v>4883.7</v>
      </c>
      <c r="G48" s="44">
        <f aca="true" t="shared" si="12" ref="G48:G81">F48-E48</f>
        <v>2803.2</v>
      </c>
      <c r="H48" s="45">
        <f aca="true" t="shared" si="13" ref="H48:H59">F48/E48*100</f>
        <v>234.73684210526312</v>
      </c>
      <c r="I48" s="31">
        <f aca="true" t="shared" si="14" ref="I48:I81">F48-D48</f>
        <v>-7683.400000000001</v>
      </c>
      <c r="J48" s="31">
        <f aca="true" t="shared" si="15" ref="J48:J66">F48/D48*100</f>
        <v>38.86099418322445</v>
      </c>
      <c r="K48" s="18">
        <f>K51+K60+K61+K62+K63+K71+K72+K73+K75+K79+K70</f>
        <v>2762.81</v>
      </c>
      <c r="L48" s="18"/>
      <c r="M48" s="18">
        <f>M51+M60+M61+M62+M63+M71+M72+M73+M75+M79+M70+M69</f>
        <v>1040.5</v>
      </c>
      <c r="N48" s="18">
        <f>N51+N60+N61+N62+N63+N71+N72+N73+N75+N79+N70+N69</f>
        <v>3861.3199999999997</v>
      </c>
      <c r="O48" s="49">
        <f aca="true" t="shared" si="16" ref="O48:O81">N48-M48</f>
        <v>2820.8199999999997</v>
      </c>
      <c r="P48" s="31">
        <f>N48/M48*100</f>
        <v>371.1023546371936</v>
      </c>
      <c r="Q48" s="31">
        <f>N48-1017.63</f>
        <v>2843.6899999999996</v>
      </c>
      <c r="R48" s="127">
        <f>N48/1017.63</f>
        <v>3.7944242995980857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25</v>
      </c>
      <c r="F51" s="143">
        <v>-3.86</v>
      </c>
      <c r="G51" s="43">
        <f t="shared" si="12"/>
        <v>-28.86</v>
      </c>
      <c r="H51" s="35">
        <f t="shared" si="13"/>
        <v>-15.439999999999998</v>
      </c>
      <c r="I51" s="50">
        <f t="shared" si="14"/>
        <v>-203.86</v>
      </c>
      <c r="J51" s="50">
        <f t="shared" si="15"/>
        <v>-1.9299999999999997</v>
      </c>
      <c r="K51" s="50">
        <f>F51-15.87</f>
        <v>-19.73</v>
      </c>
      <c r="L51" s="50">
        <f>F51/15.87*100</f>
        <v>-24.322621298046627</v>
      </c>
      <c r="M51" s="35">
        <f>E51-'січень-2'!E51</f>
        <v>20</v>
      </c>
      <c r="N51" s="35">
        <f>F51-'січень-2'!F51</f>
        <v>-3.86</v>
      </c>
      <c r="O51" s="47">
        <f t="shared" si="16"/>
        <v>-23.86</v>
      </c>
      <c r="P51" s="50">
        <f aca="true" t="shared" si="17" ref="P51:P59">N51/M51*100</f>
        <v>-19.3</v>
      </c>
      <c r="Q51" s="50">
        <f>N51-0</f>
        <v>-3.86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E52-'січень-2'!E52</f>
        <v>0</v>
      </c>
      <c r="N52" s="35">
        <f>F52-'січень-2'!F52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E53-'січень-2'!E53</f>
        <v>0</v>
      </c>
      <c r="N53" s="35">
        <f>F53-'січень-2'!F53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E54-'січень-2'!E54</f>
        <v>0</v>
      </c>
      <c r="N54" s="35">
        <f>F54-'січень-2'!F54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E55-'січень-2'!E55</f>
        <v>0</v>
      </c>
      <c r="N55" s="35">
        <f>F55-'січень-2'!F55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E56-'січень-2'!E56</f>
        <v>0</v>
      </c>
      <c r="N56" s="35">
        <f>F56-'січень-2'!F56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E57-'січень-2'!E57</f>
        <v>0</v>
      </c>
      <c r="N57" s="35">
        <f>F57-'січень-2'!F57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E58-'січень-2'!E58</f>
        <v>0</v>
      </c>
      <c r="N58" s="35">
        <f>F58-'січень-2'!F58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E59-'січень-2'!E59</f>
        <v>0</v>
      </c>
      <c r="N59" s="35">
        <f>F59-'січень-2'!F59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E60-'січень-2'!E60</f>
        <v>0</v>
      </c>
      <c r="N60" s="35">
        <f>F60-'січень-2'!F60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2.85</v>
      </c>
      <c r="G61" s="43">
        <f t="shared" si="12"/>
        <v>2.85</v>
      </c>
      <c r="H61" s="35"/>
      <c r="I61" s="50">
        <f t="shared" si="14"/>
        <v>2.85</v>
      </c>
      <c r="J61" s="50"/>
      <c r="K61" s="50">
        <f>F61-97.38</f>
        <v>-94.53</v>
      </c>
      <c r="L61" s="50">
        <f>F61/97.38*100</f>
        <v>2.9266789895255703</v>
      </c>
      <c r="M61" s="35">
        <f>E61-'січень-2'!E61</f>
        <v>0</v>
      </c>
      <c r="N61" s="35">
        <f>F61-'січень-2'!F61</f>
        <v>1.1800000000000002</v>
      </c>
      <c r="O61" s="47">
        <f t="shared" si="16"/>
        <v>1.1800000000000002</v>
      </c>
      <c r="P61" s="50"/>
      <c r="Q61" s="50">
        <f>N61-4.23</f>
        <v>-3.0500000000000003</v>
      </c>
      <c r="R61" s="126">
        <f>N61/4.23</f>
        <v>0.2789598108747045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0.5</v>
      </c>
      <c r="F62" s="143">
        <v>0</v>
      </c>
      <c r="G62" s="43">
        <f t="shared" si="12"/>
        <v>-0.5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E62-'січень-2'!E62</f>
        <v>0.5</v>
      </c>
      <c r="N62" s="35">
        <f>F62-'січень-2'!F62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16</v>
      </c>
      <c r="F63" s="143">
        <v>16.83</v>
      </c>
      <c r="G63" s="43">
        <f t="shared" si="12"/>
        <v>0.8299999999999983</v>
      </c>
      <c r="H63" s="35">
        <f>F63/E63*100</f>
        <v>105.18749999999999</v>
      </c>
      <c r="I63" s="50">
        <f t="shared" si="14"/>
        <v>-123.17</v>
      </c>
      <c r="J63" s="50">
        <v>10</v>
      </c>
      <c r="K63" s="50">
        <f aca="true" t="shared" si="20" ref="K63:K68">F63-19.41</f>
        <v>-2.580000000000002</v>
      </c>
      <c r="L63" s="50">
        <f>F63/19.41*100</f>
        <v>86.70788253477588</v>
      </c>
      <c r="M63" s="35">
        <f>E63-'січень-2'!E63</f>
        <v>10</v>
      </c>
      <c r="N63" s="35">
        <f>F63-'січень-2'!F63</f>
        <v>9.229999999999999</v>
      </c>
      <c r="O63" s="47">
        <f t="shared" si="16"/>
        <v>-0.7700000000000014</v>
      </c>
      <c r="P63" s="50">
        <f>N63/M63*100</f>
        <v>92.29999999999998</v>
      </c>
      <c r="Q63" s="50">
        <f>N63-9.02</f>
        <v>0.20999999999999908</v>
      </c>
      <c r="R63" s="126">
        <f>N63/9.02</f>
        <v>1.023281596452328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 t="shared" si="20"/>
        <v>-19.41</v>
      </c>
      <c r="L64" s="50">
        <f>F64</f>
        <v>0</v>
      </c>
      <c r="M64" s="35">
        <f>E64-'січень-2'!E64</f>
        <v>0</v>
      </c>
      <c r="N64" s="35">
        <f>F64-'січень-2'!F64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 t="shared" si="20"/>
        <v>-19.41</v>
      </c>
      <c r="L65" s="50">
        <f>F65</f>
        <v>0</v>
      </c>
      <c r="M65" s="35">
        <f>E65-'січень-2'!E65</f>
        <v>0</v>
      </c>
      <c r="N65" s="35">
        <f>F65-'січень-2'!F65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 t="shared" si="20"/>
        <v>-19.41</v>
      </c>
      <c r="L66" s="50">
        <f>F66</f>
        <v>0</v>
      </c>
      <c r="M66" s="35">
        <f>E66-'січень-2'!E66</f>
        <v>0</v>
      </c>
      <c r="N66" s="35">
        <f>F66-'січень-2'!F66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 t="shared" si="20"/>
        <v>-19.41</v>
      </c>
      <c r="L67" s="50">
        <f>F67</f>
        <v>0</v>
      </c>
      <c r="M67" s="35">
        <f>E67-'січень-2'!E67</f>
        <v>0</v>
      </c>
      <c r="N67" s="35">
        <f>F67-'січень-2'!F67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 t="shared" si="20"/>
        <v>-19.41</v>
      </c>
      <c r="L68" s="50">
        <f>F68</f>
        <v>0</v>
      </c>
      <c r="M68" s="35">
        <f>E68-'січень-2'!E68</f>
        <v>0</v>
      </c>
      <c r="N68" s="35">
        <f>F68-'січень-2'!F68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0.5</v>
      </c>
      <c r="G69" s="43">
        <f>F69-E69</f>
        <v>0.5</v>
      </c>
      <c r="H69" s="35"/>
      <c r="I69" s="50">
        <f>F69-D69</f>
        <v>0.5</v>
      </c>
      <c r="J69" s="50"/>
      <c r="K69" s="50"/>
      <c r="L69" s="50"/>
      <c r="M69" s="35">
        <f>E69</f>
        <v>0</v>
      </c>
      <c r="N69" s="35">
        <f>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1559.47</v>
      </c>
      <c r="G70" s="43">
        <f t="shared" si="12"/>
        <v>1559.47</v>
      </c>
      <c r="H70" s="35"/>
      <c r="I70" s="50">
        <f t="shared" si="14"/>
        <v>1559.47</v>
      </c>
      <c r="J70" s="50"/>
      <c r="K70" s="50">
        <f>F70-0</f>
        <v>1559.47</v>
      </c>
      <c r="L70" s="50"/>
      <c r="M70" s="35">
        <f>E691</f>
        <v>0</v>
      </c>
      <c r="N70" s="35">
        <f>F70-0</f>
        <v>1559.47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1240</v>
      </c>
      <c r="F71" s="143">
        <v>1319.2</v>
      </c>
      <c r="G71" s="43">
        <f t="shared" si="12"/>
        <v>79.20000000000005</v>
      </c>
      <c r="H71" s="35">
        <f>F71/E71*100</f>
        <v>106.38709677419355</v>
      </c>
      <c r="I71" s="50">
        <f t="shared" si="14"/>
        <v>-5580.8</v>
      </c>
      <c r="J71" s="50">
        <v>550</v>
      </c>
      <c r="K71" s="50">
        <f>F71-1189.92</f>
        <v>129.27999999999997</v>
      </c>
      <c r="L71" s="50">
        <f>F71/1189.92*100</f>
        <v>110.8645959392228</v>
      </c>
      <c r="M71" s="35">
        <f>E71-'січень-2'!E69</f>
        <v>550</v>
      </c>
      <c r="N71" s="35">
        <f>F71-'січень-2'!F69</f>
        <v>628.5</v>
      </c>
      <c r="O71" s="47">
        <f t="shared" si="16"/>
        <v>78.5</v>
      </c>
      <c r="P71" s="50">
        <f>N71/M71*100</f>
        <v>114.27272727272728</v>
      </c>
      <c r="Q71" s="50">
        <f>N71-647.49</f>
        <v>-18.99000000000001</v>
      </c>
      <c r="R71" s="126">
        <f>N71/647.49</f>
        <v>0.9706713617198721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149</v>
      </c>
      <c r="F72" s="143">
        <v>1398.47</v>
      </c>
      <c r="G72" s="43">
        <f t="shared" si="12"/>
        <v>1249.47</v>
      </c>
      <c r="H72" s="35">
        <f>F72/E72*100</f>
        <v>938.5704697986578</v>
      </c>
      <c r="I72" s="50">
        <f t="shared" si="14"/>
        <v>298.47</v>
      </c>
      <c r="J72" s="50">
        <v>90</v>
      </c>
      <c r="K72" s="50">
        <f>F72-126.54</f>
        <v>1271.93</v>
      </c>
      <c r="L72" s="50">
        <f>F72/126.54*100</f>
        <v>1105.1604235814762</v>
      </c>
      <c r="M72" s="35">
        <f>E72-'січень-2'!E70</f>
        <v>90</v>
      </c>
      <c r="N72" s="35">
        <f>F72-'січень-2'!F70</f>
        <v>1339.26</v>
      </c>
      <c r="O72" s="47">
        <f t="shared" si="16"/>
        <v>1249.26</v>
      </c>
      <c r="P72" s="50">
        <f>N72/M72*100</f>
        <v>1488.0666666666666</v>
      </c>
      <c r="Q72" s="50">
        <f>N72-79.51</f>
        <v>1259.75</v>
      </c>
      <c r="R72" s="126">
        <f>N72/79.51</f>
        <v>16.84391900389888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E73-'січень '!M97</f>
        <v>0</v>
      </c>
      <c r="N73" s="35">
        <f>F73-'січень-2'!F71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E74-'січень '!M98</f>
        <v>0</v>
      </c>
      <c r="N74" s="35">
        <f>F74-'січень-2'!F72</f>
        <v>0</v>
      </c>
      <c r="O74" s="47">
        <f t="shared" si="16"/>
        <v>0</v>
      </c>
      <c r="P74" s="50" t="e">
        <f aca="true" t="shared" si="21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650</v>
      </c>
      <c r="F75" s="143">
        <v>590.24</v>
      </c>
      <c r="G75" s="43">
        <f t="shared" si="12"/>
        <v>-59.75999999999999</v>
      </c>
      <c r="H75" s="35">
        <f>F75/E75*100</f>
        <v>90.80615384615385</v>
      </c>
      <c r="I75" s="50">
        <f t="shared" si="14"/>
        <v>-3609.76</v>
      </c>
      <c r="J75" s="50">
        <f>F75/D75*100</f>
        <v>14.053333333333335</v>
      </c>
      <c r="K75" s="50">
        <f>F75-652</f>
        <v>-61.75999999999999</v>
      </c>
      <c r="L75" s="50">
        <f>F75/652*100</f>
        <v>90.52760736196319</v>
      </c>
      <c r="M75" s="35">
        <f>E75-'січень-2'!M73</f>
        <v>370</v>
      </c>
      <c r="N75" s="35">
        <f>F75-'січень-2'!F73</f>
        <v>327.04</v>
      </c>
      <c r="O75" s="47">
        <f t="shared" si="16"/>
        <v>-42.95999999999998</v>
      </c>
      <c r="P75" s="50">
        <f t="shared" si="21"/>
        <v>88.3891891891892</v>
      </c>
      <c r="Q75" s="50">
        <f>N75-277.38</f>
        <v>49.660000000000025</v>
      </c>
      <c r="R75" s="126">
        <f>N75/277.38</f>
        <v>1.1790323743600837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E76-'січень-2'!M74</f>
        <v>0</v>
      </c>
      <c r="N76" s="35">
        <f>F76-'січень-2'!F74</f>
        <v>0</v>
      </c>
      <c r="O76" s="47">
        <f t="shared" si="16"/>
        <v>0</v>
      </c>
      <c r="P76" s="50" t="e">
        <f t="shared" si="21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E77-'січень-2'!M75</f>
        <v>0</v>
      </c>
      <c r="N77" s="35">
        <f>F77-'січень-2'!F75</f>
        <v>0</v>
      </c>
      <c r="O77" s="47">
        <f t="shared" si="16"/>
        <v>0</v>
      </c>
      <c r="P77" s="50" t="e">
        <f t="shared" si="21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142.7</v>
      </c>
      <c r="G78" s="135">
        <f t="shared" si="12"/>
        <v>142.7</v>
      </c>
      <c r="H78" s="137"/>
      <c r="I78" s="136">
        <f t="shared" si="14"/>
        <v>142.7</v>
      </c>
      <c r="J78" s="136"/>
      <c r="K78" s="136">
        <f>F78-130.1</f>
        <v>12.599999999999994</v>
      </c>
      <c r="L78" s="138">
        <f>F78/130.1*100</f>
        <v>109.684857801691</v>
      </c>
      <c r="M78" s="137">
        <f>E78-'січень-2'!M76</f>
        <v>0</v>
      </c>
      <c r="N78" s="137">
        <f>F78-'січень-2'!F76</f>
        <v>59.999999999999986</v>
      </c>
      <c r="O78" s="138">
        <f t="shared" si="16"/>
        <v>59.999999999999986</v>
      </c>
      <c r="P78" s="136"/>
      <c r="Q78" s="50">
        <f>N78-64.93</f>
        <v>-4.930000000000021</v>
      </c>
      <c r="R78" s="126">
        <f>N78/64.93</f>
        <v>0.9240720776220542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0</v>
      </c>
      <c r="F79" s="143">
        <v>0</v>
      </c>
      <c r="G79" s="43">
        <f t="shared" si="12"/>
        <v>0</v>
      </c>
      <c r="H79" s="35"/>
      <c r="I79" s="50">
        <f t="shared" si="14"/>
        <v>-13</v>
      </c>
      <c r="J79" s="50"/>
      <c r="K79" s="50">
        <f>F79-0</f>
        <v>0</v>
      </c>
      <c r="L79" s="50" t="e">
        <f>F79/0*100</f>
        <v>#DIV/0!</v>
      </c>
      <c r="M79" s="35">
        <f>E79-'січень-2'!M77</f>
        <v>0</v>
      </c>
      <c r="N79" s="35">
        <f>F79-'січень-2'!F77</f>
        <v>0</v>
      </c>
      <c r="O79" s="47">
        <f t="shared" si="16"/>
        <v>0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4</v>
      </c>
      <c r="F80" s="143">
        <v>3.3</v>
      </c>
      <c r="G80" s="43">
        <f t="shared" si="12"/>
        <v>-0.7000000000000002</v>
      </c>
      <c r="H80" s="35">
        <f>F80/E80*100</f>
        <v>82.5</v>
      </c>
      <c r="I80" s="50">
        <f t="shared" si="14"/>
        <v>-23.2</v>
      </c>
      <c r="J80" s="50">
        <f>F80/D80*100</f>
        <v>12.452830188679245</v>
      </c>
      <c r="K80" s="50">
        <f>F80-2.7</f>
        <v>0.5999999999999996</v>
      </c>
      <c r="L80" s="50">
        <f>F80/2.7*100</f>
        <v>122.22222222222221</v>
      </c>
      <c r="M80" s="35">
        <f>E80-'січень-2'!M78</f>
        <v>2.2</v>
      </c>
      <c r="N80" s="35">
        <f>F80-'січень-2'!F78</f>
        <v>1.4999999999999998</v>
      </c>
      <c r="O80" s="47">
        <f t="shared" si="16"/>
        <v>-0.7000000000000004</v>
      </c>
      <c r="P80" s="50">
        <f t="shared" si="21"/>
        <v>68.18181818181816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</f>
        <v>0.02</v>
      </c>
      <c r="L81" s="50"/>
      <c r="M81" s="35">
        <f>E81-'січень-2'!M79</f>
        <v>0</v>
      </c>
      <c r="N81" s="35">
        <f>F81-'січень-2'!F79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81192.5</v>
      </c>
      <c r="F82" s="18">
        <f>F8+F48+F80+F81</f>
        <v>96241.42000000001</v>
      </c>
      <c r="G82" s="44">
        <f>F82-E82</f>
        <v>15048.920000000013</v>
      </c>
      <c r="H82" s="45">
        <f>F82/E82*100</f>
        <v>118.53486467346124</v>
      </c>
      <c r="I82" s="31">
        <f>F82-D82</f>
        <v>-433781.17999999993</v>
      </c>
      <c r="J82" s="31">
        <f>F82/D82*100</f>
        <v>18.157984206711188</v>
      </c>
      <c r="K82" s="31">
        <f>K8+K48+K80+K81</f>
        <v>15331.208000000004</v>
      </c>
      <c r="L82" s="31"/>
      <c r="M82" s="18">
        <f>M8+M48+M80+M81</f>
        <v>45098.799999999996</v>
      </c>
      <c r="N82" s="18">
        <f>N8+N48+N80+N81</f>
        <v>57502.903999999995</v>
      </c>
      <c r="O82" s="49">
        <f>N82-M82</f>
        <v>12404.104</v>
      </c>
      <c r="P82" s="31">
        <f>N82/M82*100</f>
        <v>127.50428836243981</v>
      </c>
      <c r="Q82" s="31">
        <f>N82-34768</f>
        <v>22734.903999999995</v>
      </c>
      <c r="R82" s="171">
        <f>N82/34768</f>
        <v>1.6539031293143118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2" ref="G87:G95">F87-E87</f>
        <v>-14.65</v>
      </c>
      <c r="H87" s="35"/>
      <c r="I87" s="53">
        <f aca="true" t="shared" si="23" ref="I87:I94">F87-D87</f>
        <v>-14.65</v>
      </c>
      <c r="J87" s="53"/>
      <c r="K87" s="47">
        <f>F87-46.69</f>
        <v>-61.339999999999996</v>
      </c>
      <c r="L87" s="53"/>
      <c r="M87" s="35">
        <f>E87-'січень-2'!E85</f>
        <v>0</v>
      </c>
      <c r="N87" s="35">
        <f>F87-'січень-2'!F85</f>
        <v>-19.05</v>
      </c>
      <c r="O87" s="47">
        <f aca="true" t="shared" si="24" ref="O87:O95">N87-M87</f>
        <v>-19.05</v>
      </c>
      <c r="P87" s="53"/>
      <c r="Q87" s="53">
        <f>N87-24.53</f>
        <v>-43.58</v>
      </c>
      <c r="R87" s="129">
        <f>N87/24.53</f>
        <v>-0.7766000815328169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2"/>
        <v>-14.65</v>
      </c>
      <c r="H88" s="65"/>
      <c r="I88" s="54">
        <f t="shared" si="23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-19.05</v>
      </c>
      <c r="O88" s="54">
        <f t="shared" si="24"/>
        <v>-19.05</v>
      </c>
      <c r="P88" s="54"/>
      <c r="Q88" s="54">
        <f>N88-92.85</f>
        <v>-111.89999999999999</v>
      </c>
      <c r="R88" s="130">
        <f>N88/92.85</f>
        <v>-0.2051696284329564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2"/>
        <v>0</v>
      </c>
      <c r="H89" s="35" t="e">
        <f aca="true" t="shared" si="25" ref="H89:H95">F89/E89*100</f>
        <v>#DIV/0!</v>
      </c>
      <c r="I89" s="53">
        <f t="shared" si="23"/>
        <v>0</v>
      </c>
      <c r="J89" s="53" t="e">
        <f aca="true" t="shared" si="26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4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0.08</v>
      </c>
      <c r="G90" s="43">
        <f t="shared" si="22"/>
        <v>0.08</v>
      </c>
      <c r="H90" s="35"/>
      <c r="I90" s="53">
        <f t="shared" si="23"/>
        <v>-2499.92</v>
      </c>
      <c r="J90" s="53">
        <f t="shared" si="26"/>
        <v>0.0031999999999999997</v>
      </c>
      <c r="K90" s="53">
        <f>F90-475.9</f>
        <v>-475.82</v>
      </c>
      <c r="L90" s="53">
        <f>F90/475.9*100</f>
        <v>0.016810254255095608</v>
      </c>
      <c r="M90" s="35">
        <f>E90-'січень-2'!E88</f>
        <v>0</v>
      </c>
      <c r="N90" s="35">
        <f>F90-'січень-2'!F88</f>
        <v>0.05</v>
      </c>
      <c r="O90" s="47">
        <f t="shared" si="24"/>
        <v>0.05</v>
      </c>
      <c r="P90" s="53"/>
      <c r="Q90" s="53">
        <f>N90-0.04</f>
        <v>0.010000000000000002</v>
      </c>
      <c r="R90" s="129">
        <f>N90/0.04</f>
        <v>1.25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355.978</v>
      </c>
      <c r="F91" s="146">
        <v>414.12</v>
      </c>
      <c r="G91" s="43">
        <f t="shared" si="22"/>
        <v>58.141999999999996</v>
      </c>
      <c r="H91" s="35">
        <f t="shared" si="25"/>
        <v>116.33303181657293</v>
      </c>
      <c r="I91" s="53">
        <f t="shared" si="23"/>
        <v>-11161.88</v>
      </c>
      <c r="J91" s="53">
        <f t="shared" si="26"/>
        <v>3.577401520387008</v>
      </c>
      <c r="K91" s="53">
        <f>F91-1043.17</f>
        <v>-629.0500000000001</v>
      </c>
      <c r="L91" s="53">
        <f>F91/1043.17*100</f>
        <v>39.698227518045954</v>
      </c>
      <c r="M91" s="35">
        <f>E91-'січень-2'!E89</f>
        <v>96.28000000000003</v>
      </c>
      <c r="N91" s="35">
        <f>F91-'січень-2'!F89</f>
        <v>154.43</v>
      </c>
      <c r="O91" s="47">
        <f t="shared" si="24"/>
        <v>58.14999999999998</v>
      </c>
      <c r="P91" s="53">
        <f>N91/M91*100</f>
        <v>160.39675945159945</v>
      </c>
      <c r="Q91" s="53">
        <f>N91-450.01</f>
        <v>-295.58</v>
      </c>
      <c r="R91" s="129">
        <f>N91/450.01</f>
        <v>0.343170151774405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148.1</v>
      </c>
      <c r="F92" s="146">
        <v>-1.6</v>
      </c>
      <c r="G92" s="43">
        <f t="shared" si="22"/>
        <v>-149.7</v>
      </c>
      <c r="H92" s="35">
        <f t="shared" si="25"/>
        <v>-1.0803511141120865</v>
      </c>
      <c r="I92" s="53">
        <f t="shared" si="23"/>
        <v>-3001.6</v>
      </c>
      <c r="J92" s="53">
        <f t="shared" si="26"/>
        <v>-0.05333333333333334</v>
      </c>
      <c r="K92" s="53">
        <f>F92-87.4</f>
        <v>-89</v>
      </c>
      <c r="L92" s="53">
        <f>F92/87.4*100</f>
        <v>-1.8306636155606408</v>
      </c>
      <c r="M92" s="35">
        <f>E92-'січень-2'!E90</f>
        <v>148.1</v>
      </c>
      <c r="N92" s="35">
        <f>F92-'січень-2'!F90</f>
        <v>14.44</v>
      </c>
      <c r="O92" s="47">
        <f t="shared" si="24"/>
        <v>-133.66</v>
      </c>
      <c r="P92" s="53">
        <f>N92/M92*100</f>
        <v>9.750168804861579</v>
      </c>
      <c r="Q92" s="53">
        <f>N92-1.05</f>
        <v>13.389999999999999</v>
      </c>
      <c r="R92" s="129">
        <f>N92/1.05</f>
        <v>13.752380952380951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504.078</v>
      </c>
      <c r="F93" s="145">
        <f>F90+F91+F92</f>
        <v>412.59999999999997</v>
      </c>
      <c r="G93" s="55">
        <f t="shared" si="22"/>
        <v>-91.47800000000001</v>
      </c>
      <c r="H93" s="65">
        <f t="shared" si="25"/>
        <v>81.85241172993068</v>
      </c>
      <c r="I93" s="54">
        <f t="shared" si="23"/>
        <v>-16663.4</v>
      </c>
      <c r="J93" s="54">
        <f t="shared" si="26"/>
        <v>2.4162567345982664</v>
      </c>
      <c r="K93" s="54">
        <f>F93-1606.47</f>
        <v>-1193.8700000000001</v>
      </c>
      <c r="L93" s="54">
        <f>F93/1606.47*100</f>
        <v>25.683641773578092</v>
      </c>
      <c r="M93" s="55">
        <f>M90+M91+M92</f>
        <v>244.38000000000002</v>
      </c>
      <c r="N93" s="55">
        <f>N90+N91+N92</f>
        <v>168.92000000000002</v>
      </c>
      <c r="O93" s="54">
        <f t="shared" si="24"/>
        <v>-75.46000000000001</v>
      </c>
      <c r="P93" s="54">
        <f>N93/M93*100</f>
        <v>69.12185939929618</v>
      </c>
      <c r="Q93" s="54">
        <f>N93-7985.28</f>
        <v>-7816.36</v>
      </c>
      <c r="R93" s="173">
        <f>N93/7985.28</f>
        <v>0.02115392321872245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0</v>
      </c>
      <c r="F94" s="146">
        <v>0</v>
      </c>
      <c r="G94" s="43">
        <f t="shared" si="22"/>
        <v>0</v>
      </c>
      <c r="H94" s="35"/>
      <c r="I94" s="53">
        <f t="shared" si="23"/>
        <v>-35</v>
      </c>
      <c r="J94" s="53">
        <f t="shared" si="26"/>
        <v>0</v>
      </c>
      <c r="K94" s="53">
        <f>F94-0.16</f>
        <v>-0.16</v>
      </c>
      <c r="L94" s="53">
        <f>F94/0.16*100</f>
        <v>0</v>
      </c>
      <c r="M94" s="35">
        <f>E94-'січень-2'!E92</f>
        <v>0</v>
      </c>
      <c r="N94" s="35">
        <f>F94-'січень-2'!F92</f>
        <v>0</v>
      </c>
      <c r="O94" s="47">
        <f t="shared" si="24"/>
        <v>0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2"/>
        <v>0</v>
      </c>
      <c r="H95" s="35" t="e">
        <f t="shared" si="25"/>
        <v>#DIV/0!</v>
      </c>
      <c r="I95" s="56"/>
      <c r="J95" s="56"/>
      <c r="K95" s="56"/>
      <c r="L95" s="53">
        <f>F95</f>
        <v>0</v>
      </c>
      <c r="M95" s="35">
        <f>E95-'січень-2'!E93</f>
        <v>0</v>
      </c>
      <c r="N95" s="35">
        <f>F95-'січень-2'!F93</f>
        <v>0</v>
      </c>
      <c r="O95" s="47">
        <f t="shared" si="24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E96-'січень-2'!E94</f>
        <v>0</v>
      </c>
      <c r="N96" s="35">
        <f>F96-'січень-2'!F94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0.49</v>
      </c>
      <c r="G97" s="43">
        <f>F97-E97</f>
        <v>0.49</v>
      </c>
      <c r="H97" s="35"/>
      <c r="I97" s="53">
        <f>F97-D97</f>
        <v>0.49</v>
      </c>
      <c r="J97" s="53"/>
      <c r="K97" s="53">
        <f>F97-(-0.23)</f>
        <v>0.72</v>
      </c>
      <c r="L97" s="53">
        <f>F97/(-0.23)*100</f>
        <v>-213.04347826086953</v>
      </c>
      <c r="M97" s="35">
        <f>E97-'січень-2'!E95</f>
        <v>0</v>
      </c>
      <c r="N97" s="35">
        <f>F97-'січень-2'!F95</f>
        <v>0.31999999999999995</v>
      </c>
      <c r="O97" s="47">
        <f>N97-M97</f>
        <v>0.31999999999999995</v>
      </c>
      <c r="P97" s="53"/>
      <c r="Q97" s="53">
        <f>N97-(-0.21)</f>
        <v>0.5299999999999999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0</v>
      </c>
      <c r="F98" s="145">
        <f>F94+F97+F96</f>
        <v>0.49</v>
      </c>
      <c r="G98" s="55">
        <f>F98-E98</f>
        <v>0.49</v>
      </c>
      <c r="H98" s="65"/>
      <c r="I98" s="54">
        <f>F98-D98</f>
        <v>-53.51</v>
      </c>
      <c r="J98" s="54">
        <f>F98/D98*100</f>
        <v>0.9074074074074074</v>
      </c>
      <c r="K98" s="54">
        <f>F98-8.69</f>
        <v>-8.2</v>
      </c>
      <c r="L98" s="54">
        <f>F98/8.69*100</f>
        <v>5.638665132336019</v>
      </c>
      <c r="M98" s="55">
        <f>M94+M97+M96</f>
        <v>0</v>
      </c>
      <c r="N98" s="55">
        <f>N94+N97+N96</f>
        <v>0.31999999999999995</v>
      </c>
      <c r="O98" s="54">
        <f>N98-M98</f>
        <v>0.31999999999999995</v>
      </c>
      <c r="P98" s="54"/>
      <c r="Q98" s="54">
        <f>N98-26.38</f>
        <v>-26.06</v>
      </c>
      <c r="R98" s="128">
        <f>N98/26.38</f>
        <v>0.012130401819560271</v>
      </c>
    </row>
    <row r="99" spans="2:18" ht="31.5">
      <c r="B99" s="14" t="s">
        <v>125</v>
      </c>
      <c r="C99" s="59">
        <v>24110900</v>
      </c>
      <c r="D99" s="167">
        <v>42</v>
      </c>
      <c r="E99" s="28">
        <v>2.59</v>
      </c>
      <c r="F99" s="146">
        <v>0.96</v>
      </c>
      <c r="G99" s="43">
        <f>F99-E99</f>
        <v>-1.63</v>
      </c>
      <c r="H99" s="35">
        <f>F99/E99*100</f>
        <v>37.06563706563706</v>
      </c>
      <c r="I99" s="53">
        <f>F99-D99</f>
        <v>-41.04</v>
      </c>
      <c r="J99" s="53">
        <f>F99/D99*100</f>
        <v>2.2857142857142856</v>
      </c>
      <c r="K99" s="53">
        <f>F99-1.98</f>
        <v>-1.02</v>
      </c>
      <c r="L99" s="53">
        <f>F99/1.98*100</f>
        <v>48.484848484848484</v>
      </c>
      <c r="M99" s="35">
        <f>E99-'січень-2'!E97</f>
        <v>2</v>
      </c>
      <c r="N99" s="35">
        <f>F99-'січень-2'!F97</f>
        <v>0.37</v>
      </c>
      <c r="O99" s="47">
        <f>N99-M99</f>
        <v>-1.63</v>
      </c>
      <c r="P99" s="53">
        <f>N99/M99*100</f>
        <v>18.5</v>
      </c>
      <c r="Q99" s="53">
        <f>N99-0.45</f>
        <v>-0.08000000000000002</v>
      </c>
      <c r="R99" s="129">
        <f>N99/0.45</f>
        <v>0.8222222222222222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506.66799999999995</v>
      </c>
      <c r="F100" s="27">
        <f>F88+F99+F93+F98</f>
        <v>399.4</v>
      </c>
      <c r="G100" s="44">
        <f>F100-E100</f>
        <v>-107.26799999999997</v>
      </c>
      <c r="H100" s="45">
        <f>F100/E100*100</f>
        <v>78.82873992436862</v>
      </c>
      <c r="I100" s="31">
        <f>F100-D100</f>
        <v>-16772.6</v>
      </c>
      <c r="J100" s="31">
        <f>F100/D100*100</f>
        <v>2.3258793384579546</v>
      </c>
      <c r="K100" s="31">
        <f>K88+K93+K98+K99</f>
        <v>-1210.5900000000001</v>
      </c>
      <c r="L100" s="31"/>
      <c r="M100" s="27">
        <f>M88+M99+M93+M98</f>
        <v>246.38000000000002</v>
      </c>
      <c r="N100" s="27">
        <f>N88+N99+N93+N98</f>
        <v>150.56</v>
      </c>
      <c r="O100" s="31">
        <f>N100-M100</f>
        <v>-95.82000000000002</v>
      </c>
      <c r="P100" s="31">
        <f>N100/M100*100</f>
        <v>61.108856238331036</v>
      </c>
      <c r="Q100" s="31">
        <f>N100-8104.96</f>
        <v>-7954.4</v>
      </c>
      <c r="R100" s="127">
        <f>N100/8104.96</f>
        <v>0.018576279216677195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81699.168</v>
      </c>
      <c r="F101" s="27">
        <f>F82+F100</f>
        <v>96640.82</v>
      </c>
      <c r="G101" s="44">
        <f>F101-E101</f>
        <v>14941.652000000002</v>
      </c>
      <c r="H101" s="45">
        <f>F101/E101*100</f>
        <v>118.28862198449805</v>
      </c>
      <c r="I101" s="31">
        <f>F101-D101</f>
        <v>-450553.77999999997</v>
      </c>
      <c r="J101" s="31">
        <f>F101/D101*100</f>
        <v>17.661142854845426</v>
      </c>
      <c r="K101" s="31">
        <f>K82+K100</f>
        <v>14120.618000000004</v>
      </c>
      <c r="L101" s="31"/>
      <c r="M101" s="18">
        <f>M82+M100</f>
        <v>45345.17999999999</v>
      </c>
      <c r="N101" s="18">
        <f>N82+N100</f>
        <v>57653.46399999999</v>
      </c>
      <c r="O101" s="31">
        <f>N101-M101</f>
        <v>12308.284</v>
      </c>
      <c r="P101" s="31">
        <f>N101/M101*100</f>
        <v>127.14353322668475</v>
      </c>
      <c r="Q101" s="31">
        <f>N101-42872.96</f>
        <v>14780.503999999994</v>
      </c>
      <c r="R101" s="127">
        <f>N101/42872.96</f>
        <v>1.3447511904939615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>
        <f>IF(O82&lt;0,ABS(O82/C103),0)</f>
        <v>0</v>
      </c>
      <c r="D104" s="4" t="s">
        <v>104</v>
      </c>
      <c r="G104" s="231"/>
      <c r="H104" s="231"/>
      <c r="I104" s="231"/>
      <c r="J104" s="231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42062</v>
      </c>
      <c r="D105" s="34">
        <v>5468.1</v>
      </c>
      <c r="N105" s="232"/>
      <c r="O105" s="232"/>
    </row>
    <row r="106" spans="3:15" ht="15.75">
      <c r="C106" s="111">
        <v>42061</v>
      </c>
      <c r="D106" s="34">
        <v>6003.3</v>
      </c>
      <c r="F106" s="155" t="s">
        <v>166</v>
      </c>
      <c r="G106" s="233"/>
      <c r="H106" s="233"/>
      <c r="I106" s="177"/>
      <c r="J106" s="234"/>
      <c r="K106" s="234"/>
      <c r="L106" s="234"/>
      <c r="M106" s="234"/>
      <c r="N106" s="232"/>
      <c r="O106" s="232"/>
    </row>
    <row r="107" spans="3:15" ht="15.75" customHeight="1">
      <c r="C107" s="111">
        <v>42060</v>
      </c>
      <c r="D107" s="34">
        <v>1551.3</v>
      </c>
      <c r="G107" s="238" t="s">
        <v>151</v>
      </c>
      <c r="H107" s="238"/>
      <c r="I107" s="106">
        <v>8909.73221</v>
      </c>
      <c r="J107" s="239"/>
      <c r="K107" s="239"/>
      <c r="L107" s="239"/>
      <c r="M107" s="239"/>
      <c r="N107" s="232"/>
      <c r="O107" s="232"/>
    </row>
    <row r="108" spans="7:13" ht="15.75" customHeight="1">
      <c r="G108" s="249" t="s">
        <v>155</v>
      </c>
      <c r="H108" s="249"/>
      <c r="I108" s="103">
        <v>0</v>
      </c>
      <c r="J108" s="234"/>
      <c r="K108" s="234"/>
      <c r="L108" s="234"/>
      <c r="M108" s="234"/>
    </row>
    <row r="109" spans="2:13" ht="18.75" customHeight="1">
      <c r="B109" s="242" t="s">
        <v>160</v>
      </c>
      <c r="C109" s="243"/>
      <c r="D109" s="108">
        <f>138305956.27/1000</f>
        <v>138305.95627000002</v>
      </c>
      <c r="E109" s="73"/>
      <c r="F109" s="156" t="s">
        <v>147</v>
      </c>
      <c r="G109" s="238" t="s">
        <v>149</v>
      </c>
      <c r="H109" s="238"/>
      <c r="I109" s="107">
        <v>129396.23</v>
      </c>
      <c r="J109" s="234"/>
      <c r="K109" s="234"/>
      <c r="L109" s="234"/>
      <c r="M109" s="234"/>
    </row>
    <row r="110" spans="7:12" ht="9.75" customHeight="1">
      <c r="G110" s="233"/>
      <c r="H110" s="233"/>
      <c r="I110" s="90"/>
      <c r="J110" s="91"/>
      <c r="K110" s="91"/>
      <c r="L110" s="91"/>
    </row>
    <row r="111" spans="2:12" ht="22.5" customHeight="1" hidden="1">
      <c r="B111" s="244" t="s">
        <v>167</v>
      </c>
      <c r="C111" s="245"/>
      <c r="D111" s="110">
        <v>0</v>
      </c>
      <c r="E111" s="70" t="s">
        <v>104</v>
      </c>
      <c r="G111" s="233"/>
      <c r="H111" s="233"/>
      <c r="I111" s="90"/>
      <c r="J111" s="91"/>
      <c r="K111" s="91"/>
      <c r="L111" s="91"/>
    </row>
    <row r="112" spans="4:15" ht="15.75">
      <c r="D112" s="105"/>
      <c r="N112" s="233"/>
      <c r="O112" s="233"/>
    </row>
    <row r="113" spans="4:15" ht="15.75">
      <c r="D113" s="104"/>
      <c r="I113" s="34"/>
      <c r="N113" s="246"/>
      <c r="O113" s="246"/>
    </row>
    <row r="114" spans="14:15" ht="15.75">
      <c r="N114" s="233"/>
      <c r="O114" s="233"/>
    </row>
  </sheetData>
  <mergeCells count="39">
    <mergeCell ref="N114:O114"/>
    <mergeCell ref="B111:C111"/>
    <mergeCell ref="G111:H111"/>
    <mergeCell ref="N112:O112"/>
    <mergeCell ref="N113:O113"/>
    <mergeCell ref="B109:C109"/>
    <mergeCell ref="G109:H109"/>
    <mergeCell ref="J109:M109"/>
    <mergeCell ref="G110:H110"/>
    <mergeCell ref="G107:H107"/>
    <mergeCell ref="J107:M107"/>
    <mergeCell ref="N107:O107"/>
    <mergeCell ref="G108:H108"/>
    <mergeCell ref="J108:M108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" right="0.18" top="0.35" bottom="0.39" header="0.17" footer="0.29"/>
  <pageSetup fitToHeight="1" fitToWidth="1" horizontalDpi="600" verticalDpi="600" orientation="portrait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12"/>
  <sheetViews>
    <sheetView zoomScale="75" zoomScaleNormal="75" workbookViewId="0" topLeftCell="B1">
      <pane xSplit="2" ySplit="9" topLeftCell="D63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88" sqref="F8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05" t="s">
        <v>193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117"/>
      <c r="R1" s="118"/>
    </row>
    <row r="2" spans="2:18" s="1" customFormat="1" ht="15.75" customHeight="1">
      <c r="B2" s="206"/>
      <c r="C2" s="206"/>
      <c r="D2" s="206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07"/>
      <c r="B3" s="209" t="s">
        <v>205</v>
      </c>
      <c r="C3" s="210" t="s">
        <v>0</v>
      </c>
      <c r="D3" s="211" t="s">
        <v>216</v>
      </c>
      <c r="E3" s="40"/>
      <c r="F3" s="212" t="s">
        <v>107</v>
      </c>
      <c r="G3" s="213"/>
      <c r="H3" s="213"/>
      <c r="I3" s="213"/>
      <c r="J3" s="214"/>
      <c r="K3" s="114"/>
      <c r="L3" s="114"/>
      <c r="M3" s="215" t="s">
        <v>220</v>
      </c>
      <c r="N3" s="218" t="s">
        <v>175</v>
      </c>
      <c r="O3" s="218"/>
      <c r="P3" s="218"/>
      <c r="Q3" s="218"/>
      <c r="R3" s="218"/>
    </row>
    <row r="4" spans="1:18" ht="22.5" customHeight="1">
      <c r="A4" s="207"/>
      <c r="B4" s="209"/>
      <c r="C4" s="210"/>
      <c r="D4" s="211"/>
      <c r="E4" s="219" t="s">
        <v>219</v>
      </c>
      <c r="F4" s="223" t="s">
        <v>116</v>
      </c>
      <c r="G4" s="225" t="s">
        <v>173</v>
      </c>
      <c r="H4" s="250" t="s">
        <v>174</v>
      </c>
      <c r="I4" s="252" t="s">
        <v>217</v>
      </c>
      <c r="J4" s="255" t="s">
        <v>218</v>
      </c>
      <c r="K4" s="116" t="s">
        <v>172</v>
      </c>
      <c r="L4" s="121" t="s">
        <v>171</v>
      </c>
      <c r="M4" s="216"/>
      <c r="N4" s="235" t="s">
        <v>194</v>
      </c>
      <c r="O4" s="252" t="s">
        <v>136</v>
      </c>
      <c r="P4" s="218" t="s">
        <v>135</v>
      </c>
      <c r="Q4" s="122" t="s">
        <v>172</v>
      </c>
      <c r="R4" s="123" t="s">
        <v>171</v>
      </c>
    </row>
    <row r="5" spans="1:19" ht="92.25" customHeight="1">
      <c r="A5" s="208"/>
      <c r="B5" s="209"/>
      <c r="C5" s="210"/>
      <c r="D5" s="211"/>
      <c r="E5" s="220"/>
      <c r="F5" s="224"/>
      <c r="G5" s="226"/>
      <c r="H5" s="251"/>
      <c r="I5" s="253"/>
      <c r="J5" s="256"/>
      <c r="K5" s="221" t="s">
        <v>188</v>
      </c>
      <c r="L5" s="222"/>
      <c r="M5" s="217"/>
      <c r="N5" s="236"/>
      <c r="O5" s="253"/>
      <c r="P5" s="218"/>
      <c r="Q5" s="221" t="s">
        <v>176</v>
      </c>
      <c r="R5" s="222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35051.9</v>
      </c>
      <c r="F8" s="18">
        <f>F10+F19+F30+F33+F34+F42</f>
        <v>37714.316</v>
      </c>
      <c r="G8" s="18">
        <f aca="true" t="shared" si="0" ref="G8:G46">F8-E8</f>
        <v>2662.4159999999974</v>
      </c>
      <c r="H8" s="45">
        <f>F8/E8*100</f>
        <v>107.59563960869454</v>
      </c>
      <c r="I8" s="31">
        <f aca="true" t="shared" si="1" ref="I8:I46">F8-D8</f>
        <v>-479714.684</v>
      </c>
      <c r="J8" s="31">
        <f aca="true" t="shared" si="2" ref="J8:J14">F8/D8*100</f>
        <v>7.28879053937835</v>
      </c>
      <c r="K8" s="31">
        <f>F8-33748.2</f>
        <v>3966.116000000002</v>
      </c>
      <c r="L8" s="31">
        <f>F8/33748.2*100</f>
        <v>111.75208159249976</v>
      </c>
      <c r="M8" s="18">
        <f>M10+M19+M30+M33+M34+M42</f>
        <v>35051.9</v>
      </c>
      <c r="N8" s="18">
        <f>N10+N19+N30+N33+N34+N42</f>
        <v>37714.316</v>
      </c>
      <c r="O8" s="31">
        <f aca="true" t="shared" si="3" ref="O8:O46">N8-M8</f>
        <v>2662.4159999999974</v>
      </c>
      <c r="P8" s="31">
        <f>F8/M8*100</f>
        <v>107.59563960869454</v>
      </c>
      <c r="Q8" s="31">
        <f>N8-33748.16</f>
        <v>3966.1559999999954</v>
      </c>
      <c r="R8" s="125">
        <f>N8/33748.16</f>
        <v>1.1175221404663245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23209.376000000004</v>
      </c>
      <c r="G9" s="18">
        <f t="shared" si="0"/>
        <v>23209.376000000004</v>
      </c>
      <c r="H9" s="16"/>
      <c r="I9" s="50">
        <f t="shared" si="1"/>
        <v>-289480.624</v>
      </c>
      <c r="J9" s="50">
        <f t="shared" si="2"/>
        <v>7.422487447631841</v>
      </c>
      <c r="K9" s="50"/>
      <c r="L9" s="50"/>
      <c r="M9" s="16">
        <f>M10+M17</f>
        <v>21005.4</v>
      </c>
      <c r="N9" s="16">
        <f>N10+N17</f>
        <v>23209.376000000004</v>
      </c>
      <c r="O9" s="31">
        <f t="shared" si="3"/>
        <v>2203.9760000000024</v>
      </c>
      <c r="P9" s="50">
        <f>F9/M9*100</f>
        <v>110.49242575718625</v>
      </c>
      <c r="Q9" s="50"/>
      <c r="R9" s="126"/>
    </row>
    <row r="10" spans="1:19" s="6" customFormat="1" ht="15.75">
      <c r="A10" s="8"/>
      <c r="B10" s="15" t="s">
        <v>145</v>
      </c>
      <c r="C10" s="59">
        <v>11010000</v>
      </c>
      <c r="D10" s="36">
        <v>312690</v>
      </c>
      <c r="E10" s="36">
        <v>21005.4</v>
      </c>
      <c r="F10" s="143">
        <f>'січень '!F10/75*60</f>
        <v>23209.376000000004</v>
      </c>
      <c r="G10" s="43">
        <f t="shared" si="0"/>
        <v>2203.9760000000024</v>
      </c>
      <c r="H10" s="35">
        <f aca="true" t="shared" si="4" ref="H10:H42">F10/E10*100</f>
        <v>110.49242575718625</v>
      </c>
      <c r="I10" s="50">
        <f t="shared" si="1"/>
        <v>-289480.624</v>
      </c>
      <c r="J10" s="50">
        <f t="shared" si="2"/>
        <v>7.422487447631841</v>
      </c>
      <c r="K10" s="132">
        <f>F10-26568.11</f>
        <v>-3358.7339999999967</v>
      </c>
      <c r="L10" s="132">
        <f>F10/26568.11*100</f>
        <v>87.35802433820096</v>
      </c>
      <c r="M10" s="35">
        <f>E10</f>
        <v>21005.4</v>
      </c>
      <c r="N10" s="35">
        <f>F10</f>
        <v>23209.376000000004</v>
      </c>
      <c r="O10" s="47">
        <f t="shared" si="3"/>
        <v>2203.9760000000024</v>
      </c>
      <c r="P10" s="50">
        <f aca="true" t="shared" si="5" ref="P10:P47">N10/M10*100</f>
        <v>110.49242575718625</v>
      </c>
      <c r="Q10" s="132">
        <f>N10-26568.11</f>
        <v>-3358.7339999999967</v>
      </c>
      <c r="R10" s="133">
        <f>N10/26568.11</f>
        <v>0.8735802433820096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 '!M11</f>
        <v>0</v>
      </c>
      <c r="N11" s="35">
        <f aca="true" t="shared" si="6" ref="N11:N42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 '!M12</f>
        <v>0</v>
      </c>
      <c r="N12" s="35">
        <f t="shared" si="6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 '!M13</f>
        <v>0</v>
      </c>
      <c r="N13" s="35">
        <f t="shared" si="6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 '!M14</f>
        <v>0</v>
      </c>
      <c r="N14" s="35">
        <f t="shared" si="6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 '!M15</f>
        <v>0</v>
      </c>
      <c r="N15" s="35">
        <f t="shared" si="6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 '!M16</f>
        <v>0</v>
      </c>
      <c r="N16" s="35">
        <f t="shared" si="6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 '!M17</f>
        <v>0</v>
      </c>
      <c r="N17" s="35">
        <f t="shared" si="6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 '!M18</f>
        <v>0</v>
      </c>
      <c r="N18" s="35">
        <f t="shared" si="6"/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-566.34</v>
      </c>
      <c r="G19" s="43">
        <f t="shared" si="0"/>
        <v>-566.34</v>
      </c>
      <c r="H19" s="35"/>
      <c r="I19" s="50">
        <f t="shared" si="1"/>
        <v>-1066.3400000000001</v>
      </c>
      <c r="J19" s="50">
        <f aca="true" t="shared" si="7" ref="J19:J28">F19/D19*100</f>
        <v>-113.26800000000001</v>
      </c>
      <c r="K19" s="50">
        <f>F19-358.81</f>
        <v>-925.1500000000001</v>
      </c>
      <c r="L19" s="50">
        <f>F19/358.81*100</f>
        <v>-157.83841030071625</v>
      </c>
      <c r="M19" s="35">
        <f>E19</f>
        <v>0</v>
      </c>
      <c r="N19" s="35">
        <f t="shared" si="6"/>
        <v>-566.34</v>
      </c>
      <c r="O19" s="47">
        <f t="shared" si="3"/>
        <v>-566.34</v>
      </c>
      <c r="P19" s="50" t="e">
        <f t="shared" si="5"/>
        <v>#DIV/0!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7"/>
        <v>#DIV/0!</v>
      </c>
      <c r="K20" s="50">
        <f aca="true" t="shared" si="8" ref="K20:K28">F20-194.7</f>
        <v>-194.7</v>
      </c>
      <c r="L20" s="50">
        <f aca="true" t="shared" si="9" ref="L20:L28">F20/194.7*100</f>
        <v>0</v>
      </c>
      <c r="M20" s="35">
        <f>E20-'січень '!M20</f>
        <v>0</v>
      </c>
      <c r="N20" s="35">
        <f t="shared" si="6"/>
        <v>0</v>
      </c>
      <c r="O20" s="47">
        <f t="shared" si="3"/>
        <v>0</v>
      </c>
      <c r="P20" s="50" t="e">
        <f t="shared" si="5"/>
        <v>#DIV/0!</v>
      </c>
      <c r="Q20" s="50">
        <f aca="true" t="shared" si="10" ref="Q20:Q28">N20-194.7</f>
        <v>-194.7</v>
      </c>
      <c r="R20" s="126">
        <f aca="true" t="shared" si="11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7"/>
        <v>#DIV/0!</v>
      </c>
      <c r="K21" s="50">
        <f t="shared" si="8"/>
        <v>-194.7</v>
      </c>
      <c r="L21" s="50">
        <f t="shared" si="9"/>
        <v>0</v>
      </c>
      <c r="M21" s="35">
        <f>E21-'січень '!M21</f>
        <v>0</v>
      </c>
      <c r="N21" s="35">
        <f t="shared" si="6"/>
        <v>0</v>
      </c>
      <c r="O21" s="47">
        <f t="shared" si="3"/>
        <v>0</v>
      </c>
      <c r="P21" s="50" t="e">
        <f t="shared" si="5"/>
        <v>#DIV/0!</v>
      </c>
      <c r="Q21" s="50">
        <f t="shared" si="10"/>
        <v>-194.7</v>
      </c>
      <c r="R21" s="126">
        <f t="shared" si="11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7"/>
        <v>#DIV/0!</v>
      </c>
      <c r="K22" s="50">
        <f t="shared" si="8"/>
        <v>-194.7</v>
      </c>
      <c r="L22" s="50">
        <f t="shared" si="9"/>
        <v>0</v>
      </c>
      <c r="M22" s="35">
        <f>E22-'січень '!M22</f>
        <v>0</v>
      </c>
      <c r="N22" s="35">
        <f t="shared" si="6"/>
        <v>0</v>
      </c>
      <c r="O22" s="47">
        <f t="shared" si="3"/>
        <v>0</v>
      </c>
      <c r="P22" s="50" t="e">
        <f t="shared" si="5"/>
        <v>#DIV/0!</v>
      </c>
      <c r="Q22" s="50">
        <f t="shared" si="10"/>
        <v>-194.7</v>
      </c>
      <c r="R22" s="126">
        <f t="shared" si="11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7"/>
        <v>#DIV/0!</v>
      </c>
      <c r="K23" s="50">
        <f t="shared" si="8"/>
        <v>-194.7</v>
      </c>
      <c r="L23" s="50">
        <f t="shared" si="9"/>
        <v>0</v>
      </c>
      <c r="M23" s="35">
        <f>E23-'січень '!M23</f>
        <v>0</v>
      </c>
      <c r="N23" s="35">
        <f t="shared" si="6"/>
        <v>0</v>
      </c>
      <c r="O23" s="47">
        <f t="shared" si="3"/>
        <v>0</v>
      </c>
      <c r="P23" s="50" t="e">
        <f t="shared" si="5"/>
        <v>#DIV/0!</v>
      </c>
      <c r="Q23" s="50">
        <f t="shared" si="10"/>
        <v>-194.7</v>
      </c>
      <c r="R23" s="126">
        <f t="shared" si="11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7"/>
        <v>#DIV/0!</v>
      </c>
      <c r="K24" s="50">
        <f t="shared" si="8"/>
        <v>-194.7</v>
      </c>
      <c r="L24" s="50">
        <f t="shared" si="9"/>
        <v>0</v>
      </c>
      <c r="M24" s="35">
        <f>E24-'січень '!M24</f>
        <v>0</v>
      </c>
      <c r="N24" s="35">
        <f t="shared" si="6"/>
        <v>0</v>
      </c>
      <c r="O24" s="47">
        <f t="shared" si="3"/>
        <v>0</v>
      </c>
      <c r="P24" s="50" t="e">
        <f t="shared" si="5"/>
        <v>#DIV/0!</v>
      </c>
      <c r="Q24" s="50">
        <f t="shared" si="10"/>
        <v>-194.7</v>
      </c>
      <c r="R24" s="126">
        <f t="shared" si="11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7"/>
        <v>#DIV/0!</v>
      </c>
      <c r="K25" s="50">
        <f t="shared" si="8"/>
        <v>-194.7</v>
      </c>
      <c r="L25" s="50">
        <f t="shared" si="9"/>
        <v>0</v>
      </c>
      <c r="M25" s="35">
        <f>E25-'січень '!M25</f>
        <v>0</v>
      </c>
      <c r="N25" s="35">
        <f t="shared" si="6"/>
        <v>0</v>
      </c>
      <c r="O25" s="47">
        <f t="shared" si="3"/>
        <v>0</v>
      </c>
      <c r="P25" s="50" t="e">
        <f t="shared" si="5"/>
        <v>#DIV/0!</v>
      </c>
      <c r="Q25" s="50">
        <f t="shared" si="10"/>
        <v>-194.7</v>
      </c>
      <c r="R25" s="126">
        <f t="shared" si="11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7"/>
        <v>#DIV/0!</v>
      </c>
      <c r="K26" s="50">
        <f t="shared" si="8"/>
        <v>-194.7</v>
      </c>
      <c r="L26" s="50">
        <f t="shared" si="9"/>
        <v>0</v>
      </c>
      <c r="M26" s="35">
        <f>E26-'січень '!M26</f>
        <v>0</v>
      </c>
      <c r="N26" s="35">
        <f t="shared" si="6"/>
        <v>0</v>
      </c>
      <c r="O26" s="47">
        <f t="shared" si="3"/>
        <v>0</v>
      </c>
      <c r="P26" s="50" t="e">
        <f t="shared" si="5"/>
        <v>#DIV/0!</v>
      </c>
      <c r="Q26" s="50">
        <f t="shared" si="10"/>
        <v>-194.7</v>
      </c>
      <c r="R26" s="126">
        <f t="shared" si="11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7"/>
        <v>#DIV/0!</v>
      </c>
      <c r="K27" s="50">
        <f t="shared" si="8"/>
        <v>-194.7</v>
      </c>
      <c r="L27" s="50">
        <f t="shared" si="9"/>
        <v>0</v>
      </c>
      <c r="M27" s="35">
        <f>E27-'січень '!M27</f>
        <v>0</v>
      </c>
      <c r="N27" s="35">
        <f t="shared" si="6"/>
        <v>0</v>
      </c>
      <c r="O27" s="47">
        <f t="shared" si="3"/>
        <v>0</v>
      </c>
      <c r="P27" s="50" t="e">
        <f t="shared" si="5"/>
        <v>#DIV/0!</v>
      </c>
      <c r="Q27" s="50">
        <f t="shared" si="10"/>
        <v>-194.7</v>
      </c>
      <c r="R27" s="126">
        <f t="shared" si="11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7"/>
        <v>#DIV/0!</v>
      </c>
      <c r="K28" s="50">
        <f t="shared" si="8"/>
        <v>-194.7</v>
      </c>
      <c r="L28" s="50">
        <f t="shared" si="9"/>
        <v>0</v>
      </c>
      <c r="M28" s="35">
        <f>E28-'січень '!M28</f>
        <v>0</v>
      </c>
      <c r="N28" s="35">
        <f t="shared" si="6"/>
        <v>0</v>
      </c>
      <c r="O28" s="47">
        <f t="shared" si="3"/>
        <v>0</v>
      </c>
      <c r="P28" s="50" t="e">
        <f t="shared" si="5"/>
        <v>#DIV/0!</v>
      </c>
      <c r="Q28" s="50">
        <f t="shared" si="10"/>
        <v>-194.7</v>
      </c>
      <c r="R28" s="126">
        <f t="shared" si="11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43">
        <f t="shared" si="0"/>
        <v>-438.35</v>
      </c>
      <c r="H29" s="35"/>
      <c r="I29" s="50">
        <f t="shared" si="1"/>
        <v>-438.35</v>
      </c>
      <c r="J29" s="136"/>
      <c r="K29" s="136">
        <f>F29-358.79</f>
        <v>-797.1400000000001</v>
      </c>
      <c r="L29" s="136">
        <f>F29/358.79*100</f>
        <v>-122.17453106273865</v>
      </c>
      <c r="M29" s="137">
        <v>0</v>
      </c>
      <c r="N29" s="35">
        <f t="shared" si="6"/>
        <v>-438.35</v>
      </c>
      <c r="O29" s="138">
        <f t="shared" si="3"/>
        <v>-438.35</v>
      </c>
      <c r="P29" s="50" t="e">
        <f t="shared" si="5"/>
        <v>#DIV/0!</v>
      </c>
      <c r="Q29" s="136">
        <f>N29-358.81</f>
        <v>-797.1600000000001</v>
      </c>
      <c r="R29" s="141">
        <f>N29/358.79</f>
        <v>-1.2217453106273866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0</v>
      </c>
      <c r="F30" s="143">
        <v>0.12</v>
      </c>
      <c r="G30" s="43">
        <f t="shared" si="0"/>
        <v>0.12</v>
      </c>
      <c r="H30" s="35" t="e">
        <f t="shared" si="4"/>
        <v>#DIV/0!</v>
      </c>
      <c r="I30" s="50">
        <f t="shared" si="1"/>
        <v>-18.88</v>
      </c>
      <c r="J30" s="50"/>
      <c r="K30" s="50">
        <f>F30-0</f>
        <v>0.12</v>
      </c>
      <c r="L30" s="50"/>
      <c r="M30" s="35">
        <f>E30-'січень '!M30</f>
        <v>0</v>
      </c>
      <c r="N30" s="35">
        <f t="shared" si="6"/>
        <v>0.12</v>
      </c>
      <c r="O30" s="47">
        <f t="shared" si="3"/>
        <v>0.12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/>
      <c r="L31" s="50">
        <f>F31</f>
        <v>0</v>
      </c>
      <c r="M31" s="35">
        <f>E31-'січень '!M31</f>
        <v>0</v>
      </c>
      <c r="N31" s="35">
        <f t="shared" si="6"/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/>
      <c r="L32" s="50">
        <f>F32</f>
        <v>0</v>
      </c>
      <c r="M32" s="35">
        <f>E32-'січень '!M32</f>
        <v>0</v>
      </c>
      <c r="N32" s="35">
        <f t="shared" si="6"/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0</v>
      </c>
      <c r="F33" s="168">
        <v>0</v>
      </c>
      <c r="G33" s="43">
        <f t="shared" si="0"/>
        <v>0</v>
      </c>
      <c r="H33" s="35" t="e">
        <f t="shared" si="4"/>
        <v>#DIV/0!</v>
      </c>
      <c r="I33" s="50">
        <f t="shared" si="1"/>
        <v>-29950</v>
      </c>
      <c r="J33" s="136">
        <f>F33/D33*100</f>
        <v>0</v>
      </c>
      <c r="K33" s="136">
        <f>F33-4687.91</f>
        <v>-4687.91</v>
      </c>
      <c r="L33" s="136">
        <f>F33/4687.91*100</f>
        <v>0</v>
      </c>
      <c r="M33" s="35">
        <f>E33</f>
        <v>0</v>
      </c>
      <c r="N33" s="35">
        <f t="shared" si="6"/>
        <v>0</v>
      </c>
      <c r="O33" s="47">
        <f t="shared" si="3"/>
        <v>0</v>
      </c>
      <c r="P33" s="50" t="e">
        <f t="shared" si="5"/>
        <v>#DIV/0!</v>
      </c>
      <c r="Q33" s="139"/>
      <c r="R33" s="140"/>
    </row>
    <row r="34" spans="1:18" s="6" customFormat="1" ht="15.75">
      <c r="A34" s="8"/>
      <c r="B34" s="11" t="s">
        <v>207</v>
      </c>
      <c r="C34" s="59">
        <v>18000000</v>
      </c>
      <c r="D34" s="43">
        <f>D35+D39+D41</f>
        <v>166770</v>
      </c>
      <c r="E34" s="43">
        <f>E35+E39+E41</f>
        <v>14036.5</v>
      </c>
      <c r="F34" s="169">
        <f>F35+F39+F41+F40</f>
        <v>15062.269999999999</v>
      </c>
      <c r="G34" s="43">
        <f t="shared" si="0"/>
        <v>1025.7699999999986</v>
      </c>
      <c r="H34" s="35">
        <f t="shared" si="4"/>
        <v>107.30787589498804</v>
      </c>
      <c r="I34" s="50">
        <f t="shared" si="1"/>
        <v>-151707.73</v>
      </c>
      <c r="J34" s="136"/>
      <c r="K34" s="136"/>
      <c r="L34" s="136"/>
      <c r="M34" s="35">
        <f>E34</f>
        <v>14036.5</v>
      </c>
      <c r="N34" s="35">
        <f t="shared" si="6"/>
        <v>15062.269999999999</v>
      </c>
      <c r="O34" s="47">
        <f t="shared" si="3"/>
        <v>1025.7699999999986</v>
      </c>
      <c r="P34" s="50">
        <f t="shared" si="5"/>
        <v>107.30787589498804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6534.5</v>
      </c>
      <c r="F35" s="169">
        <f>F36+F37+F38</f>
        <v>6582.68</v>
      </c>
      <c r="G35" s="43">
        <f t="shared" si="0"/>
        <v>48.18000000000029</v>
      </c>
      <c r="H35" s="35">
        <f t="shared" si="4"/>
        <v>100.73731731578546</v>
      </c>
      <c r="I35" s="50">
        <f t="shared" si="1"/>
        <v>-91617.32</v>
      </c>
      <c r="J35" s="136"/>
      <c r="K35" s="136"/>
      <c r="L35" s="136"/>
      <c r="M35" s="35">
        <f aca="true" t="shared" si="12" ref="M35:M42">E35</f>
        <v>6534.5</v>
      </c>
      <c r="N35" s="35">
        <f t="shared" si="6"/>
        <v>6582.68</v>
      </c>
      <c r="O35" s="47">
        <f t="shared" si="3"/>
        <v>48.18000000000029</v>
      </c>
      <c r="P35" s="50">
        <f t="shared" si="5"/>
        <v>100.73731731578546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84.5</v>
      </c>
      <c r="F36" s="144">
        <f>'січень '!F118</f>
        <v>84.67</v>
      </c>
      <c r="G36" s="43">
        <f t="shared" si="0"/>
        <v>0.1700000000000017</v>
      </c>
      <c r="H36" s="35">
        <f t="shared" si="4"/>
        <v>100.20118343195266</v>
      </c>
      <c r="I36" s="50">
        <f t="shared" si="1"/>
        <v>-915.33</v>
      </c>
      <c r="J36" s="136"/>
      <c r="K36" s="136"/>
      <c r="L36" s="136"/>
      <c r="M36" s="137">
        <f t="shared" si="12"/>
        <v>84.5</v>
      </c>
      <c r="N36" s="137">
        <f t="shared" si="6"/>
        <v>84.67</v>
      </c>
      <c r="O36" s="47">
        <f t="shared" si="3"/>
        <v>0.1700000000000017</v>
      </c>
      <c r="P36" s="50">
        <f t="shared" si="5"/>
        <v>100.20118343195266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43">
        <f t="shared" si="0"/>
        <v>0</v>
      </c>
      <c r="H37" s="35"/>
      <c r="I37" s="50">
        <f t="shared" si="1"/>
        <v>-1500</v>
      </c>
      <c r="J37" s="136"/>
      <c r="K37" s="136"/>
      <c r="L37" s="136"/>
      <c r="M37" s="137">
        <f t="shared" si="12"/>
        <v>0</v>
      </c>
      <c r="N37" s="137">
        <f t="shared" si="6"/>
        <v>0</v>
      </c>
      <c r="O37" s="47">
        <f t="shared" si="3"/>
        <v>0</v>
      </c>
      <c r="P37" s="50" t="e">
        <f t="shared" si="5"/>
        <v>#DIV/0!</v>
      </c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6450</v>
      </c>
      <c r="F38" s="144">
        <f>'січень '!F33</f>
        <v>6498.01</v>
      </c>
      <c r="G38" s="43">
        <f t="shared" si="0"/>
        <v>48.01000000000022</v>
      </c>
      <c r="H38" s="35">
        <f t="shared" si="4"/>
        <v>100.74434108527133</v>
      </c>
      <c r="I38" s="50">
        <f t="shared" si="1"/>
        <v>-89201.99</v>
      </c>
      <c r="J38" s="136"/>
      <c r="K38" s="136"/>
      <c r="L38" s="136"/>
      <c r="M38" s="137">
        <f t="shared" si="12"/>
        <v>6450</v>
      </c>
      <c r="N38" s="137">
        <f t="shared" si="6"/>
        <v>6498.01</v>
      </c>
      <c r="O38" s="47">
        <f t="shared" si="3"/>
        <v>48.01000000000022</v>
      </c>
      <c r="P38" s="50">
        <f t="shared" si="5"/>
        <v>100.74434108527133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2</v>
      </c>
      <c r="F39" s="168">
        <v>2.4</v>
      </c>
      <c r="G39" s="43">
        <f t="shared" si="0"/>
        <v>0.3999999999999999</v>
      </c>
      <c r="H39" s="35">
        <f t="shared" si="4"/>
        <v>120</v>
      </c>
      <c r="I39" s="50">
        <f t="shared" si="1"/>
        <v>-67.6</v>
      </c>
      <c r="J39" s="136"/>
      <c r="K39" s="136"/>
      <c r="L39" s="136"/>
      <c r="M39" s="35">
        <f t="shared" si="12"/>
        <v>2</v>
      </c>
      <c r="N39" s="35">
        <f t="shared" si="6"/>
        <v>2.4</v>
      </c>
      <c r="O39" s="47">
        <f t="shared" si="3"/>
        <v>0.3999999999999999</v>
      </c>
      <c r="P39" s="50">
        <f t="shared" si="5"/>
        <v>120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142.71</v>
      </c>
      <c r="G40" s="43">
        <f t="shared" si="0"/>
        <v>142.71</v>
      </c>
      <c r="H40" s="35"/>
      <c r="I40" s="50">
        <f t="shared" si="1"/>
        <v>142.71</v>
      </c>
      <c r="J40" s="136"/>
      <c r="K40" s="136"/>
      <c r="L40" s="136"/>
      <c r="M40" s="35">
        <f t="shared" si="12"/>
        <v>0</v>
      </c>
      <c r="N40" s="35">
        <f t="shared" si="6"/>
        <v>142.71</v>
      </c>
      <c r="O40" s="47">
        <f t="shared" si="3"/>
        <v>142.71</v>
      </c>
      <c r="P40" s="50" t="e">
        <f t="shared" si="5"/>
        <v>#DIV/0!</v>
      </c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7500</v>
      </c>
      <c r="F41" s="168">
        <v>8334.48</v>
      </c>
      <c r="G41" s="43">
        <f t="shared" si="0"/>
        <v>834.4799999999996</v>
      </c>
      <c r="H41" s="35">
        <f t="shared" si="4"/>
        <v>111.1264</v>
      </c>
      <c r="I41" s="50">
        <f t="shared" si="1"/>
        <v>-60165.520000000004</v>
      </c>
      <c r="J41" s="136"/>
      <c r="K41" s="136"/>
      <c r="L41" s="136"/>
      <c r="M41" s="35">
        <f t="shared" si="12"/>
        <v>7500</v>
      </c>
      <c r="N41" s="35">
        <f t="shared" si="6"/>
        <v>8334.48</v>
      </c>
      <c r="O41" s="47">
        <f t="shared" si="3"/>
        <v>834.4799999999996</v>
      </c>
      <c r="P41" s="50">
        <f t="shared" si="5"/>
        <v>111.1264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10</v>
      </c>
      <c r="F42" s="168">
        <v>8.89</v>
      </c>
      <c r="G42" s="43">
        <f t="shared" si="0"/>
        <v>-1.1099999999999994</v>
      </c>
      <c r="H42" s="35">
        <f t="shared" si="4"/>
        <v>88.9</v>
      </c>
      <c r="I42" s="50">
        <f t="shared" si="1"/>
        <v>-7491.11</v>
      </c>
      <c r="J42" s="136"/>
      <c r="K42" s="136"/>
      <c r="L42" s="136"/>
      <c r="M42" s="35">
        <f t="shared" si="12"/>
        <v>10</v>
      </c>
      <c r="N42" s="35">
        <f t="shared" si="6"/>
        <v>8.89</v>
      </c>
      <c r="O42" s="47">
        <f t="shared" si="3"/>
        <v>-1.1099999999999994</v>
      </c>
      <c r="P42" s="50">
        <f t="shared" si="5"/>
        <v>88.9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 t="shared" si="0"/>
        <v>0</v>
      </c>
      <c r="H43" s="35" t="e">
        <f>F43/E43*100</f>
        <v>#DIV/0!</v>
      </c>
      <c r="I43" s="50">
        <f t="shared" si="1"/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 t="shared" si="5"/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 t="shared" si="0"/>
        <v>0</v>
      </c>
      <c r="H44" s="35" t="e">
        <f>F44/E44*100</f>
        <v>#DIV/0!</v>
      </c>
      <c r="I44" s="50">
        <f t="shared" si="1"/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 t="shared" si="5"/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 t="shared" si="0"/>
        <v>0</v>
      </c>
      <c r="H45" s="35" t="e">
        <f>F45/E45*100</f>
        <v>#DIV/0!</v>
      </c>
      <c r="I45" s="50">
        <f t="shared" si="1"/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 t="shared" si="5"/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 t="shared" si="0"/>
        <v>0</v>
      </c>
      <c r="H46" s="35" t="e">
        <f>F46/E46*100</f>
        <v>#DIV/0!</v>
      </c>
      <c r="I46" s="50">
        <f t="shared" si="1"/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 t="shared" si="3"/>
        <v>#REF!</v>
      </c>
      <c r="P46" s="50" t="e">
        <f t="shared" si="5"/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 t="e">
        <f t="shared" si="5"/>
        <v>#REF!</v>
      </c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D51+D60+D61+D62+D63+D69+D70+D71+D73+D77</f>
        <v>12567.1</v>
      </c>
      <c r="E48" s="18">
        <f>E51+E60+E61+E62+E63+E69+E70+E71+E73+E77</f>
        <v>1040</v>
      </c>
      <c r="F48" s="18">
        <f>F51+F60+F61+F62+F63+F69+F70+F71+F73+F77</f>
        <v>1022.3800000000001</v>
      </c>
      <c r="G48" s="44">
        <f aca="true" t="shared" si="13" ref="G48:G79">F48-E48</f>
        <v>-17.61999999999989</v>
      </c>
      <c r="H48" s="45">
        <f aca="true" t="shared" si="14" ref="H48:H59">F48/E48*100</f>
        <v>98.30576923076924</v>
      </c>
      <c r="I48" s="31">
        <f aca="true" t="shared" si="15" ref="I48:I82">F48-D48</f>
        <v>-11544.720000000001</v>
      </c>
      <c r="J48" s="31">
        <f aca="true" t="shared" si="16" ref="J48:J66">F48/D48*100</f>
        <v>8.135369337396854</v>
      </c>
      <c r="K48" s="31">
        <f>F48-1017.6</f>
        <v>4.780000000000086</v>
      </c>
      <c r="L48" s="31">
        <f>F48/1017.6*100</f>
        <v>100.46973270440252</v>
      </c>
      <c r="M48" s="18">
        <f>M51+M60+M61+M62+M63+M69+M70+M71+M73+M77</f>
        <v>1040</v>
      </c>
      <c r="N48" s="18">
        <f>N51+N60+N61+N62+N63+N69+N70+N71+N73+N77</f>
        <v>1022.3800000000001</v>
      </c>
      <c r="O48" s="49">
        <f aca="true" t="shared" si="17" ref="O48:O66">N48-M48</f>
        <v>-17.61999999999989</v>
      </c>
      <c r="P48" s="31">
        <f>N48/M48*100</f>
        <v>98.30576923076924</v>
      </c>
      <c r="Q48" s="31">
        <f>N48-1017.63</f>
        <v>4.750000000000114</v>
      </c>
      <c r="R48" s="127">
        <f>N48/1017.63</f>
        <v>1.0046677083026248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3"/>
        <v>#REF!</v>
      </c>
      <c r="H49" s="35" t="e">
        <f t="shared" si="14"/>
        <v>#REF!</v>
      </c>
      <c r="I49" s="50" t="e">
        <f t="shared" si="15"/>
        <v>#REF!</v>
      </c>
      <c r="J49" s="50" t="e">
        <f t="shared" si="16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7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3"/>
        <v>0</v>
      </c>
      <c r="H50" s="35" t="e">
        <f t="shared" si="14"/>
        <v>#DIV/0!</v>
      </c>
      <c r="I50" s="50" t="e">
        <f t="shared" si="15"/>
        <v>#REF!</v>
      </c>
      <c r="J50" s="50" t="e">
        <f t="shared" si="16"/>
        <v>#REF!</v>
      </c>
      <c r="K50" s="50"/>
      <c r="L50" s="50"/>
      <c r="M50" s="52"/>
      <c r="N50" s="52"/>
      <c r="O50" s="47">
        <f t="shared" si="17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5</v>
      </c>
      <c r="F51" s="143">
        <v>0</v>
      </c>
      <c r="G51" s="43">
        <f t="shared" si="13"/>
        <v>-5</v>
      </c>
      <c r="H51" s="35">
        <f t="shared" si="14"/>
        <v>0</v>
      </c>
      <c r="I51" s="50">
        <f t="shared" si="15"/>
        <v>-200</v>
      </c>
      <c r="J51" s="50">
        <f t="shared" si="16"/>
        <v>0</v>
      </c>
      <c r="K51" s="50">
        <f>F51-0</f>
        <v>0</v>
      </c>
      <c r="L51" s="50" t="e">
        <f>F51/0*100</f>
        <v>#DIV/0!</v>
      </c>
      <c r="M51" s="35">
        <f>E51</f>
        <v>5</v>
      </c>
      <c r="N51" s="35">
        <f>F51</f>
        <v>0</v>
      </c>
      <c r="O51" s="47">
        <f t="shared" si="17"/>
        <v>-5</v>
      </c>
      <c r="P51" s="50">
        <f aca="true" t="shared" si="18" ref="P51:P60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3"/>
        <v>0</v>
      </c>
      <c r="H52" s="35" t="e">
        <f t="shared" si="14"/>
        <v>#DIV/0!</v>
      </c>
      <c r="I52" s="50">
        <f t="shared" si="15"/>
        <v>0</v>
      </c>
      <c r="J52" s="50" t="e">
        <f t="shared" si="16"/>
        <v>#DIV/0!</v>
      </c>
      <c r="K52" s="50"/>
      <c r="L52" s="50">
        <f aca="true" t="shared" si="19" ref="L52:L75">F52</f>
        <v>0</v>
      </c>
      <c r="M52" s="35">
        <f aca="true" t="shared" si="20" ref="M52:M79">E52</f>
        <v>0</v>
      </c>
      <c r="N52" s="35">
        <f aca="true" t="shared" si="21" ref="N52:N79">F52</f>
        <v>0</v>
      </c>
      <c r="O52" s="47">
        <f t="shared" si="17"/>
        <v>0</v>
      </c>
      <c r="P52" s="50" t="e">
        <f t="shared" si="18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3"/>
        <v>0</v>
      </c>
      <c r="H53" s="35" t="e">
        <f t="shared" si="14"/>
        <v>#DIV/0!</v>
      </c>
      <c r="I53" s="50">
        <f t="shared" si="15"/>
        <v>0</v>
      </c>
      <c r="J53" s="50" t="e">
        <f t="shared" si="16"/>
        <v>#DIV/0!</v>
      </c>
      <c r="K53" s="50"/>
      <c r="L53" s="50">
        <f t="shared" si="19"/>
        <v>0</v>
      </c>
      <c r="M53" s="35">
        <f t="shared" si="20"/>
        <v>0</v>
      </c>
      <c r="N53" s="35">
        <f t="shared" si="21"/>
        <v>0</v>
      </c>
      <c r="O53" s="47">
        <f t="shared" si="17"/>
        <v>0</v>
      </c>
      <c r="P53" s="50" t="e">
        <f t="shared" si="18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3"/>
        <v>0</v>
      </c>
      <c r="H54" s="35" t="e">
        <f t="shared" si="14"/>
        <v>#DIV/0!</v>
      </c>
      <c r="I54" s="50">
        <f t="shared" si="15"/>
        <v>0</v>
      </c>
      <c r="J54" s="50" t="e">
        <f t="shared" si="16"/>
        <v>#DIV/0!</v>
      </c>
      <c r="K54" s="50"/>
      <c r="L54" s="50">
        <f t="shared" si="19"/>
        <v>0</v>
      </c>
      <c r="M54" s="35">
        <f t="shared" si="20"/>
        <v>0</v>
      </c>
      <c r="N54" s="35">
        <f t="shared" si="21"/>
        <v>0</v>
      </c>
      <c r="O54" s="47">
        <f t="shared" si="17"/>
        <v>0</v>
      </c>
      <c r="P54" s="50" t="e">
        <f t="shared" si="18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3"/>
        <v>0</v>
      </c>
      <c r="H55" s="35" t="e">
        <f t="shared" si="14"/>
        <v>#DIV/0!</v>
      </c>
      <c r="I55" s="50">
        <f t="shared" si="15"/>
        <v>0</v>
      </c>
      <c r="J55" s="50" t="e">
        <f t="shared" si="16"/>
        <v>#DIV/0!</v>
      </c>
      <c r="K55" s="50"/>
      <c r="L55" s="50">
        <f t="shared" si="19"/>
        <v>0</v>
      </c>
      <c r="M55" s="35">
        <f t="shared" si="20"/>
        <v>0</v>
      </c>
      <c r="N55" s="35">
        <f t="shared" si="21"/>
        <v>0</v>
      </c>
      <c r="O55" s="47">
        <f t="shared" si="17"/>
        <v>0</v>
      </c>
      <c r="P55" s="50" t="e">
        <f t="shared" si="18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3"/>
        <v>0</v>
      </c>
      <c r="H56" s="35" t="e">
        <f t="shared" si="14"/>
        <v>#DIV/0!</v>
      </c>
      <c r="I56" s="50">
        <f t="shared" si="15"/>
        <v>0</v>
      </c>
      <c r="J56" s="50" t="e">
        <f t="shared" si="16"/>
        <v>#DIV/0!</v>
      </c>
      <c r="K56" s="50"/>
      <c r="L56" s="50">
        <f t="shared" si="19"/>
        <v>0</v>
      </c>
      <c r="M56" s="35">
        <f t="shared" si="20"/>
        <v>0</v>
      </c>
      <c r="N56" s="35">
        <f t="shared" si="21"/>
        <v>0</v>
      </c>
      <c r="O56" s="47">
        <f t="shared" si="17"/>
        <v>0</v>
      </c>
      <c r="P56" s="50" t="e">
        <f t="shared" si="18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3"/>
        <v>0</v>
      </c>
      <c r="H57" s="35" t="e">
        <f t="shared" si="14"/>
        <v>#DIV/0!</v>
      </c>
      <c r="I57" s="50">
        <f t="shared" si="15"/>
        <v>0</v>
      </c>
      <c r="J57" s="50" t="e">
        <f t="shared" si="16"/>
        <v>#DIV/0!</v>
      </c>
      <c r="K57" s="50"/>
      <c r="L57" s="50">
        <f t="shared" si="19"/>
        <v>0</v>
      </c>
      <c r="M57" s="35">
        <f t="shared" si="20"/>
        <v>0</v>
      </c>
      <c r="N57" s="35">
        <f t="shared" si="21"/>
        <v>0</v>
      </c>
      <c r="O57" s="47">
        <f t="shared" si="17"/>
        <v>0</v>
      </c>
      <c r="P57" s="50" t="e">
        <f t="shared" si="18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3"/>
        <v>0</v>
      </c>
      <c r="H58" s="35" t="e">
        <f t="shared" si="14"/>
        <v>#DIV/0!</v>
      </c>
      <c r="I58" s="50">
        <f t="shared" si="15"/>
        <v>0</v>
      </c>
      <c r="J58" s="50" t="e">
        <f t="shared" si="16"/>
        <v>#DIV/0!</v>
      </c>
      <c r="K58" s="50"/>
      <c r="L58" s="50">
        <f t="shared" si="19"/>
        <v>0</v>
      </c>
      <c r="M58" s="35">
        <f t="shared" si="20"/>
        <v>0</v>
      </c>
      <c r="N58" s="35">
        <f t="shared" si="21"/>
        <v>0</v>
      </c>
      <c r="O58" s="47">
        <f t="shared" si="17"/>
        <v>0</v>
      </c>
      <c r="P58" s="50" t="e">
        <f t="shared" si="18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3"/>
        <v>0</v>
      </c>
      <c r="H59" s="35" t="e">
        <f t="shared" si="14"/>
        <v>#DIV/0!</v>
      </c>
      <c r="I59" s="50">
        <f t="shared" si="15"/>
        <v>0</v>
      </c>
      <c r="J59" s="50" t="e">
        <f t="shared" si="16"/>
        <v>#DIV/0!</v>
      </c>
      <c r="K59" s="50"/>
      <c r="L59" s="50">
        <f t="shared" si="19"/>
        <v>0</v>
      </c>
      <c r="M59" s="35">
        <f t="shared" si="20"/>
        <v>0</v>
      </c>
      <c r="N59" s="35">
        <f t="shared" si="21"/>
        <v>0</v>
      </c>
      <c r="O59" s="47">
        <f t="shared" si="17"/>
        <v>0</v>
      </c>
      <c r="P59" s="50" t="e">
        <f t="shared" si="18"/>
        <v>#DIV/0!</v>
      </c>
      <c r="Q59" s="50"/>
      <c r="R59" s="126"/>
    </row>
    <row r="60" spans="1:18" s="6" customFormat="1" ht="31.5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3"/>
        <v>0</v>
      </c>
      <c r="H60" s="35"/>
      <c r="I60" s="50">
        <f t="shared" si="15"/>
        <v>0</v>
      </c>
      <c r="J60" s="50" t="e">
        <f t="shared" si="16"/>
        <v>#DIV/0!</v>
      </c>
      <c r="K60" s="50">
        <f>F60-0</f>
        <v>0</v>
      </c>
      <c r="L60" s="50" t="e">
        <f>F60/0*100</f>
        <v>#DIV/0!</v>
      </c>
      <c r="M60" s="35">
        <f t="shared" si="20"/>
        <v>0</v>
      </c>
      <c r="N60" s="35">
        <f t="shared" si="21"/>
        <v>0</v>
      </c>
      <c r="O60" s="47">
        <f t="shared" si="17"/>
        <v>0</v>
      </c>
      <c r="P60" s="50" t="e">
        <f t="shared" si="18"/>
        <v>#DIV/0!</v>
      </c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3"/>
        <v>1.67</v>
      </c>
      <c r="H61" s="35"/>
      <c r="I61" s="50">
        <f t="shared" si="15"/>
        <v>1.67</v>
      </c>
      <c r="J61" s="50"/>
      <c r="K61" s="50"/>
      <c r="L61" s="50"/>
      <c r="M61" s="35">
        <f t="shared" si="20"/>
        <v>0</v>
      </c>
      <c r="N61" s="35">
        <f t="shared" si="21"/>
        <v>1.67</v>
      </c>
      <c r="O61" s="47"/>
      <c r="P61" s="50"/>
      <c r="Q61" s="50">
        <f>N61-4.23</f>
        <v>-2.5600000000000005</v>
      </c>
      <c r="R61" s="126">
        <f>N61/4.23</f>
        <v>0.3947990543735224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</v>
      </c>
      <c r="F62" s="143">
        <v>0</v>
      </c>
      <c r="G62" s="43">
        <f t="shared" si="13"/>
        <v>0</v>
      </c>
      <c r="H62" s="35" t="e">
        <f>F62/E62*100</f>
        <v>#DIV/0!</v>
      </c>
      <c r="I62" s="50">
        <f t="shared" si="15"/>
        <v>-6.5</v>
      </c>
      <c r="J62" s="50">
        <f t="shared" si="16"/>
        <v>0</v>
      </c>
      <c r="K62" s="50">
        <f>F62-0</f>
        <v>0</v>
      </c>
      <c r="L62" s="50" t="e">
        <f>F62/0*100</f>
        <v>#DIV/0!</v>
      </c>
      <c r="M62" s="35">
        <f t="shared" si="20"/>
        <v>0</v>
      </c>
      <c r="N62" s="35">
        <f t="shared" si="21"/>
        <v>0</v>
      </c>
      <c r="O62" s="47">
        <f t="shared" si="17"/>
        <v>0</v>
      </c>
      <c r="P62" s="50" t="e">
        <f>N62/M62*100</f>
        <v>#DIV/0!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6</v>
      </c>
      <c r="F63" s="143">
        <v>7.6</v>
      </c>
      <c r="G63" s="43">
        <f t="shared" si="13"/>
        <v>1.5999999999999996</v>
      </c>
      <c r="H63" s="35">
        <f>F63/E63*100</f>
        <v>126.66666666666666</v>
      </c>
      <c r="I63" s="50">
        <f t="shared" si="15"/>
        <v>-132.4</v>
      </c>
      <c r="J63" s="50">
        <v>10</v>
      </c>
      <c r="K63" s="50">
        <f>F63-9.02</f>
        <v>-1.42</v>
      </c>
      <c r="L63" s="50">
        <f>F63/9.02*100</f>
        <v>84.25720620842571</v>
      </c>
      <c r="M63" s="35">
        <f t="shared" si="20"/>
        <v>6</v>
      </c>
      <c r="N63" s="35">
        <f t="shared" si="21"/>
        <v>7.6</v>
      </c>
      <c r="O63" s="47">
        <f t="shared" si="17"/>
        <v>1.5999999999999996</v>
      </c>
      <c r="P63" s="50">
        <f>N63/M63*100</f>
        <v>126.66666666666666</v>
      </c>
      <c r="Q63" s="50">
        <f>N63-9.02</f>
        <v>-1.42</v>
      </c>
      <c r="R63" s="126">
        <f>N63/9.02</f>
        <v>0.8425720620842572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3"/>
        <v>0</v>
      </c>
      <c r="H64" s="35" t="e">
        <f>F64/E64*100</f>
        <v>#DIV/0!</v>
      </c>
      <c r="I64" s="50">
        <f t="shared" si="15"/>
        <v>0</v>
      </c>
      <c r="J64" s="50" t="e">
        <f t="shared" si="16"/>
        <v>#DIV/0!</v>
      </c>
      <c r="K64" s="50"/>
      <c r="L64" s="50">
        <f t="shared" si="19"/>
        <v>0</v>
      </c>
      <c r="M64" s="35">
        <f t="shared" si="20"/>
        <v>0</v>
      </c>
      <c r="N64" s="35">
        <f t="shared" si="21"/>
        <v>0</v>
      </c>
      <c r="O64" s="47">
        <f t="shared" si="17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3"/>
        <v>0</v>
      </c>
      <c r="H65" s="35" t="e">
        <f>F65/E65*100</f>
        <v>#DIV/0!</v>
      </c>
      <c r="I65" s="50">
        <f t="shared" si="15"/>
        <v>0</v>
      </c>
      <c r="J65" s="50" t="e">
        <f t="shared" si="16"/>
        <v>#DIV/0!</v>
      </c>
      <c r="K65" s="50"/>
      <c r="L65" s="50">
        <f t="shared" si="19"/>
        <v>0</v>
      </c>
      <c r="M65" s="35">
        <f t="shared" si="20"/>
        <v>0</v>
      </c>
      <c r="N65" s="35">
        <f t="shared" si="21"/>
        <v>0</v>
      </c>
      <c r="O65" s="47">
        <f t="shared" si="17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3"/>
        <v>0</v>
      </c>
      <c r="H66" s="35" t="e">
        <f>F66/E66*100</f>
        <v>#DIV/0!</v>
      </c>
      <c r="I66" s="50">
        <f t="shared" si="15"/>
        <v>0</v>
      </c>
      <c r="J66" s="50" t="e">
        <f t="shared" si="16"/>
        <v>#DIV/0!</v>
      </c>
      <c r="K66" s="50"/>
      <c r="L66" s="50">
        <f t="shared" si="19"/>
        <v>0</v>
      </c>
      <c r="M66" s="35">
        <f t="shared" si="20"/>
        <v>0</v>
      </c>
      <c r="N66" s="35">
        <f t="shared" si="21"/>
        <v>0</v>
      </c>
      <c r="O66" s="47">
        <f t="shared" si="17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3"/>
        <v>0</v>
      </c>
      <c r="H67" s="35"/>
      <c r="I67" s="50">
        <f t="shared" si="15"/>
        <v>0</v>
      </c>
      <c r="J67" s="50"/>
      <c r="K67" s="50"/>
      <c r="L67" s="50">
        <f t="shared" si="19"/>
        <v>0</v>
      </c>
      <c r="M67" s="35">
        <f t="shared" si="20"/>
        <v>0</v>
      </c>
      <c r="N67" s="35">
        <f t="shared" si="21"/>
        <v>0</v>
      </c>
      <c r="O67" s="47"/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3"/>
        <v>0</v>
      </c>
      <c r="H68" s="35"/>
      <c r="I68" s="50">
        <f t="shared" si="15"/>
        <v>0</v>
      </c>
      <c r="J68" s="50"/>
      <c r="K68" s="50"/>
      <c r="L68" s="50">
        <f t="shared" si="19"/>
        <v>0</v>
      </c>
      <c r="M68" s="35">
        <f t="shared" si="20"/>
        <v>0</v>
      </c>
      <c r="N68" s="35">
        <f t="shared" si="21"/>
        <v>0</v>
      </c>
      <c r="O68" s="47">
        <f aca="true" t="shared" si="22" ref="O68:O75">N68-M68</f>
        <v>0</v>
      </c>
      <c r="P68" s="50"/>
      <c r="Q68" s="50"/>
      <c r="R68" s="126"/>
    </row>
    <row r="69" spans="1:18" s="6" customFormat="1" ht="31.5">
      <c r="A69" s="8"/>
      <c r="B69" s="15" t="s">
        <v>78</v>
      </c>
      <c r="C69" s="67">
        <v>22080401</v>
      </c>
      <c r="D69" s="36">
        <v>6900</v>
      </c>
      <c r="E69" s="36">
        <v>690</v>
      </c>
      <c r="F69" s="143">
        <f>'січень '!F95</f>
        <v>690.7</v>
      </c>
      <c r="G69" s="43">
        <f t="shared" si="13"/>
        <v>0.7000000000000455</v>
      </c>
      <c r="H69" s="35">
        <f>F69/E69*100</f>
        <v>100.10144927536233</v>
      </c>
      <c r="I69" s="50">
        <f t="shared" si="15"/>
        <v>-6209.3</v>
      </c>
      <c r="J69" s="50">
        <v>550</v>
      </c>
      <c r="K69" s="50">
        <f>F69-647.49</f>
        <v>43.210000000000036</v>
      </c>
      <c r="L69" s="50">
        <f>F69/647.49*100</f>
        <v>106.6734621384114</v>
      </c>
      <c r="M69" s="35">
        <f t="shared" si="20"/>
        <v>690</v>
      </c>
      <c r="N69" s="35">
        <f t="shared" si="21"/>
        <v>690.7</v>
      </c>
      <c r="O69" s="47">
        <f t="shared" si="22"/>
        <v>0.7000000000000455</v>
      </c>
      <c r="P69" s="50">
        <f>N69/M69*100</f>
        <v>100.10144927536233</v>
      </c>
      <c r="Q69" s="50">
        <f>N69-647.49</f>
        <v>43.210000000000036</v>
      </c>
      <c r="R69" s="126">
        <f>N69/647.49</f>
        <v>1.066734621384114</v>
      </c>
    </row>
    <row r="70" spans="1:18" s="6" customFormat="1" ht="15.75">
      <c r="A70" s="8"/>
      <c r="B70" s="15" t="s">
        <v>80</v>
      </c>
      <c r="C70" s="59">
        <v>22090000</v>
      </c>
      <c r="D70" s="36">
        <v>1100</v>
      </c>
      <c r="E70" s="36">
        <v>59</v>
      </c>
      <c r="F70" s="143">
        <f>'січень '!F96</f>
        <v>59.21</v>
      </c>
      <c r="G70" s="43">
        <f t="shared" si="13"/>
        <v>0.21000000000000085</v>
      </c>
      <c r="H70" s="35">
        <f>F70/E70*100</f>
        <v>100.35593220338983</v>
      </c>
      <c r="I70" s="50">
        <f t="shared" si="15"/>
        <v>-1040.79</v>
      </c>
      <c r="J70" s="50">
        <v>90</v>
      </c>
      <c r="K70" s="50">
        <f>F70-79.51</f>
        <v>-20.300000000000004</v>
      </c>
      <c r="L70" s="50">
        <f>F70/79.51*100</f>
        <v>74.46862029933341</v>
      </c>
      <c r="M70" s="35">
        <f t="shared" si="20"/>
        <v>59</v>
      </c>
      <c r="N70" s="35">
        <f t="shared" si="21"/>
        <v>59.21</v>
      </c>
      <c r="O70" s="47">
        <f t="shared" si="22"/>
        <v>0.21000000000000085</v>
      </c>
      <c r="P70" s="50">
        <f>N70/M70*100</f>
        <v>100.35593220338983</v>
      </c>
      <c r="Q70" s="50">
        <f>N70-79.51</f>
        <v>-20.300000000000004</v>
      </c>
      <c r="R70" s="126">
        <f>N70/79.51</f>
        <v>0.7446862029933341</v>
      </c>
    </row>
    <row r="71" spans="1:18" s="6" customFormat="1" ht="47.25">
      <c r="A71" s="8"/>
      <c r="B71" s="15" t="s">
        <v>96</v>
      </c>
      <c r="C71" s="13" t="s">
        <v>97</v>
      </c>
      <c r="D71" s="36">
        <v>7.6</v>
      </c>
      <c r="E71" s="36">
        <v>0</v>
      </c>
      <c r="F71" s="143">
        <v>0</v>
      </c>
      <c r="G71" s="43">
        <f t="shared" si="13"/>
        <v>0</v>
      </c>
      <c r="H71" s="35"/>
      <c r="I71" s="50">
        <f t="shared" si="15"/>
        <v>-7.6</v>
      </c>
      <c r="J71" s="50"/>
      <c r="K71" s="50"/>
      <c r="L71" s="50"/>
      <c r="M71" s="35">
        <f t="shared" si="20"/>
        <v>0</v>
      </c>
      <c r="N71" s="35">
        <f t="shared" si="21"/>
        <v>0</v>
      </c>
      <c r="O71" s="47">
        <f t="shared" si="22"/>
        <v>0</v>
      </c>
      <c r="P71" s="50"/>
      <c r="Q71" s="50">
        <f>N71-0</f>
        <v>0</v>
      </c>
      <c r="R71" s="126"/>
    </row>
    <row r="72" spans="1:18" s="6" customFormat="1" ht="15.75" hidden="1">
      <c r="A72" s="8"/>
      <c r="B72" s="12" t="s">
        <v>73</v>
      </c>
      <c r="C72" s="59" t="s">
        <v>98</v>
      </c>
      <c r="D72" s="36">
        <v>0</v>
      </c>
      <c r="E72" s="36">
        <v>0</v>
      </c>
      <c r="F72" s="143">
        <v>0</v>
      </c>
      <c r="G72" s="43">
        <f t="shared" si="13"/>
        <v>0</v>
      </c>
      <c r="H72" s="35" t="e">
        <f>F72/E72*100</f>
        <v>#DIV/0!</v>
      </c>
      <c r="I72" s="50">
        <f t="shared" si="15"/>
        <v>0</v>
      </c>
      <c r="J72" s="50" t="e">
        <f>F72/D72*100</f>
        <v>#DIV/0!</v>
      </c>
      <c r="K72" s="50"/>
      <c r="L72" s="50">
        <f t="shared" si="19"/>
        <v>0</v>
      </c>
      <c r="M72" s="35">
        <f t="shared" si="20"/>
        <v>0</v>
      </c>
      <c r="N72" s="35">
        <f t="shared" si="21"/>
        <v>0</v>
      </c>
      <c r="O72" s="47">
        <f t="shared" si="22"/>
        <v>0</v>
      </c>
      <c r="P72" s="50" t="e">
        <f>N72/M72*100</f>
        <v>#DIV/0!</v>
      </c>
      <c r="Q72" s="50"/>
      <c r="R72" s="126"/>
    </row>
    <row r="73" spans="1:18" s="6" customFormat="1" ht="15.75" customHeight="1">
      <c r="A73" s="8"/>
      <c r="B73" s="14" t="s">
        <v>73</v>
      </c>
      <c r="C73" s="13" t="s">
        <v>99</v>
      </c>
      <c r="D73" s="36">
        <v>4200</v>
      </c>
      <c r="E73" s="36">
        <v>280</v>
      </c>
      <c r="F73" s="143">
        <f>'січень '!F99</f>
        <v>263.2</v>
      </c>
      <c r="G73" s="43">
        <f t="shared" si="13"/>
        <v>-16.80000000000001</v>
      </c>
      <c r="H73" s="35">
        <f>F73/E73*100</f>
        <v>94</v>
      </c>
      <c r="I73" s="50">
        <f t="shared" si="15"/>
        <v>-3936.8</v>
      </c>
      <c r="J73" s="50">
        <f>F73/D73*100</f>
        <v>6.266666666666667</v>
      </c>
      <c r="K73" s="50">
        <f>F73-277.38</f>
        <v>-14.180000000000007</v>
      </c>
      <c r="L73" s="50">
        <f>F73/277.38*100</f>
        <v>94.88787944336289</v>
      </c>
      <c r="M73" s="35">
        <f t="shared" si="20"/>
        <v>280</v>
      </c>
      <c r="N73" s="35">
        <f t="shared" si="21"/>
        <v>263.2</v>
      </c>
      <c r="O73" s="47">
        <f t="shared" si="22"/>
        <v>-16.80000000000001</v>
      </c>
      <c r="P73" s="50">
        <f>N73/M73*100</f>
        <v>94</v>
      </c>
      <c r="Q73" s="50">
        <f>N73-277.38</f>
        <v>-14.180000000000007</v>
      </c>
      <c r="R73" s="126">
        <f>N73/277.38</f>
        <v>0.9488787944336289</v>
      </c>
    </row>
    <row r="74" spans="1:18" s="6" customFormat="1" ht="31.5" customHeight="1" hidden="1">
      <c r="A74" s="8"/>
      <c r="B74" s="14" t="s">
        <v>100</v>
      </c>
      <c r="C74" s="83" t="s">
        <v>101</v>
      </c>
      <c r="D74" s="36">
        <v>0</v>
      </c>
      <c r="E74" s="36">
        <v>0</v>
      </c>
      <c r="F74" s="143">
        <v>0</v>
      </c>
      <c r="G74" s="43">
        <f t="shared" si="13"/>
        <v>0</v>
      </c>
      <c r="H74" s="35" t="e">
        <f>F74/E74*100</f>
        <v>#DIV/0!</v>
      </c>
      <c r="I74" s="50">
        <f t="shared" si="15"/>
        <v>0</v>
      </c>
      <c r="J74" s="50" t="e">
        <f>F74/D74*100</f>
        <v>#DIV/0!</v>
      </c>
      <c r="K74" s="50"/>
      <c r="L74" s="50">
        <f t="shared" si="19"/>
        <v>0</v>
      </c>
      <c r="M74" s="35">
        <f t="shared" si="20"/>
        <v>0</v>
      </c>
      <c r="N74" s="35">
        <f t="shared" si="21"/>
        <v>0</v>
      </c>
      <c r="O74" s="47">
        <f t="shared" si="22"/>
        <v>0</v>
      </c>
      <c r="P74" s="50" t="e">
        <f>F74/M74*100</f>
        <v>#DIV/0!</v>
      </c>
      <c r="Q74" s="50"/>
      <c r="R74" s="126">
        <f>N74/277.38</f>
        <v>0</v>
      </c>
    </row>
    <row r="75" spans="1:18" s="6" customFormat="1" ht="15.75" hidden="1">
      <c r="A75" s="8"/>
      <c r="B75" s="14" t="s">
        <v>102</v>
      </c>
      <c r="C75" s="83" t="s">
        <v>103</v>
      </c>
      <c r="D75" s="36">
        <v>0</v>
      </c>
      <c r="E75" s="36">
        <v>0</v>
      </c>
      <c r="F75" s="143">
        <v>0</v>
      </c>
      <c r="G75" s="43">
        <f t="shared" si="13"/>
        <v>0</v>
      </c>
      <c r="H75" s="35" t="e">
        <f>F75/E75*100</f>
        <v>#DIV/0!</v>
      </c>
      <c r="I75" s="50">
        <f t="shared" si="15"/>
        <v>0</v>
      </c>
      <c r="J75" s="50" t="e">
        <f>F75/D75*100</f>
        <v>#DIV/0!</v>
      </c>
      <c r="K75" s="50"/>
      <c r="L75" s="50">
        <f t="shared" si="19"/>
        <v>0</v>
      </c>
      <c r="M75" s="35">
        <f t="shared" si="20"/>
        <v>0</v>
      </c>
      <c r="N75" s="35">
        <f t="shared" si="21"/>
        <v>0</v>
      </c>
      <c r="O75" s="47">
        <f t="shared" si="22"/>
        <v>0</v>
      </c>
      <c r="P75" s="50"/>
      <c r="Q75" s="50"/>
      <c r="R75" s="126">
        <f>N75/277.38</f>
        <v>0</v>
      </c>
    </row>
    <row r="76" spans="1:18" s="6" customFormat="1" ht="31.5">
      <c r="A76" s="8"/>
      <c r="B76" s="69" t="s">
        <v>127</v>
      </c>
      <c r="C76" s="83"/>
      <c r="D76" s="135"/>
      <c r="E76" s="135"/>
      <c r="F76" s="144">
        <f>'січень '!F102</f>
        <v>82.7</v>
      </c>
      <c r="G76" s="43">
        <f t="shared" si="13"/>
        <v>82.7</v>
      </c>
      <c r="H76" s="35"/>
      <c r="I76" s="50">
        <f t="shared" si="15"/>
        <v>82.7</v>
      </c>
      <c r="J76" s="136"/>
      <c r="K76" s="136">
        <f>F76-64.93</f>
        <v>17.769999999999996</v>
      </c>
      <c r="L76" s="138">
        <f>F76/64.93*100</f>
        <v>127.36793469890651</v>
      </c>
      <c r="M76" s="35">
        <f t="shared" si="20"/>
        <v>0</v>
      </c>
      <c r="N76" s="35">
        <f t="shared" si="21"/>
        <v>82.7</v>
      </c>
      <c r="O76" s="47"/>
      <c r="P76" s="50"/>
      <c r="Q76" s="50">
        <f>N76-64.93</f>
        <v>17.769999999999996</v>
      </c>
      <c r="R76" s="126">
        <f>N76/64.93</f>
        <v>1.273679346989065</v>
      </c>
    </row>
    <row r="77" spans="1:18" s="6" customFormat="1" ht="44.25" customHeight="1">
      <c r="A77" s="8"/>
      <c r="B77" s="14" t="s">
        <v>128</v>
      </c>
      <c r="C77" s="59">
        <v>24061900</v>
      </c>
      <c r="D77" s="36">
        <v>13</v>
      </c>
      <c r="E77" s="36">
        <v>0</v>
      </c>
      <c r="F77" s="143">
        <v>0</v>
      </c>
      <c r="G77" s="43">
        <f t="shared" si="13"/>
        <v>0</v>
      </c>
      <c r="H77" s="35"/>
      <c r="I77" s="50">
        <f t="shared" si="15"/>
        <v>-13</v>
      </c>
      <c r="J77" s="50"/>
      <c r="K77" s="50">
        <f>F77-0</f>
        <v>0</v>
      </c>
      <c r="L77" s="50" t="e">
        <f>F77/0*100</f>
        <v>#DIV/0!</v>
      </c>
      <c r="M77" s="35">
        <f t="shared" si="20"/>
        <v>0</v>
      </c>
      <c r="N77" s="35">
        <f t="shared" si="21"/>
        <v>0</v>
      </c>
      <c r="O77" s="47">
        <f aca="true" t="shared" si="23" ref="O77:O83">N77-M77</f>
        <v>0</v>
      </c>
      <c r="P77" s="50"/>
      <c r="Q77" s="50"/>
      <c r="R77" s="126"/>
    </row>
    <row r="78" spans="1:18" s="6" customFormat="1" ht="31.5">
      <c r="A78" s="8"/>
      <c r="B78" s="14" t="s">
        <v>129</v>
      </c>
      <c r="C78" s="59">
        <v>31010200</v>
      </c>
      <c r="D78" s="36">
        <v>26.5</v>
      </c>
      <c r="E78" s="36">
        <v>1.8</v>
      </c>
      <c r="F78" s="143">
        <f>'січень '!F104</f>
        <v>1.8</v>
      </c>
      <c r="G78" s="43">
        <f t="shared" si="13"/>
        <v>0</v>
      </c>
      <c r="H78" s="35">
        <f>F78/E78*100</f>
        <v>100</v>
      </c>
      <c r="I78" s="50">
        <f t="shared" si="15"/>
        <v>-24.7</v>
      </c>
      <c r="J78" s="50">
        <f>F78/D78*100</f>
        <v>6.7924528301886795</v>
      </c>
      <c r="K78" s="50">
        <f>F78-2.2</f>
        <v>-0.40000000000000013</v>
      </c>
      <c r="L78" s="50">
        <f>F78/2.21*100</f>
        <v>81.44796380090497</v>
      </c>
      <c r="M78" s="35">
        <f t="shared" si="20"/>
        <v>1.8</v>
      </c>
      <c r="N78" s="35">
        <f t="shared" si="21"/>
        <v>1.8</v>
      </c>
      <c r="O78" s="47">
        <f t="shared" si="23"/>
        <v>0</v>
      </c>
      <c r="P78" s="50"/>
      <c r="Q78" s="50"/>
      <c r="R78" s="126"/>
    </row>
    <row r="79" spans="1:18" s="6" customFormat="1" ht="31.5">
      <c r="A79" s="8"/>
      <c r="B79" s="14" t="s">
        <v>165</v>
      </c>
      <c r="C79" s="59">
        <v>31020000</v>
      </c>
      <c r="D79" s="36">
        <v>0</v>
      </c>
      <c r="E79" s="36">
        <v>0</v>
      </c>
      <c r="F79" s="143">
        <v>0.02</v>
      </c>
      <c r="G79" s="43">
        <f t="shared" si="13"/>
        <v>0.02</v>
      </c>
      <c r="H79" s="35"/>
      <c r="I79" s="50">
        <f t="shared" si="15"/>
        <v>0.02</v>
      </c>
      <c r="J79" s="50"/>
      <c r="K79" s="50"/>
      <c r="L79" s="50"/>
      <c r="M79" s="35">
        <f t="shared" si="20"/>
        <v>0</v>
      </c>
      <c r="N79" s="35">
        <f t="shared" si="21"/>
        <v>0.02</v>
      </c>
      <c r="O79" s="47">
        <f t="shared" si="23"/>
        <v>0.02</v>
      </c>
      <c r="P79" s="50"/>
      <c r="Q79" s="50"/>
      <c r="R79" s="126"/>
    </row>
    <row r="80" spans="1:21" s="6" customFormat="1" ht="18.75">
      <c r="A80" s="9"/>
      <c r="B80" s="17" t="s">
        <v>109</v>
      </c>
      <c r="C80" s="84"/>
      <c r="D80" s="18">
        <f>D8+D48+D78+D79</f>
        <v>530022.6</v>
      </c>
      <c r="E80" s="18">
        <f>E8+E48+E78+E79</f>
        <v>36093.700000000004</v>
      </c>
      <c r="F80" s="18">
        <f>F8+F48+F78+F79</f>
        <v>38738.515999999996</v>
      </c>
      <c r="G80" s="44">
        <f>F80-E80</f>
        <v>2644.8159999999916</v>
      </c>
      <c r="H80" s="45">
        <f>F80/E80*100</f>
        <v>107.32763889543048</v>
      </c>
      <c r="I80" s="31">
        <f t="shared" si="15"/>
        <v>-491284.084</v>
      </c>
      <c r="J80" s="31">
        <f>F80/D80*100</f>
        <v>7.30884230219617</v>
      </c>
      <c r="K80" s="31">
        <f>F80-34768</f>
        <v>3970.515999999996</v>
      </c>
      <c r="L80" s="31">
        <f>F80/34768*100</f>
        <v>111.42002991256325</v>
      </c>
      <c r="M80" s="18">
        <f>M8+M48+M78+M79</f>
        <v>36093.700000000004</v>
      </c>
      <c r="N80" s="18">
        <f>N8+N48+N78+N79</f>
        <v>38738.515999999996</v>
      </c>
      <c r="O80" s="49">
        <f t="shared" si="23"/>
        <v>2644.8159999999916</v>
      </c>
      <c r="P80" s="31">
        <f>N80/M80*100</f>
        <v>107.32763889543048</v>
      </c>
      <c r="Q80" s="31">
        <f>N80-34768</f>
        <v>3970.515999999996</v>
      </c>
      <c r="R80" s="171">
        <f>N80/34768</f>
        <v>1.1142002991256326</v>
      </c>
      <c r="S80" s="172"/>
      <c r="T80" s="166"/>
      <c r="U80" s="66"/>
    </row>
    <row r="81" spans="1:18" s="66" customFormat="1" ht="18.75" hidden="1">
      <c r="A81" s="62"/>
      <c r="B81" s="75" t="s">
        <v>150</v>
      </c>
      <c r="C81" s="85"/>
      <c r="D81" s="64">
        <v>0</v>
      </c>
      <c r="E81" s="112">
        <v>0</v>
      </c>
      <c r="F81" s="112">
        <v>0</v>
      </c>
      <c r="G81" s="102">
        <f>F81-E81</f>
        <v>0</v>
      </c>
      <c r="H81" s="65" t="e">
        <f>F81/E81*100</f>
        <v>#DIV/0!</v>
      </c>
      <c r="I81" s="74">
        <f t="shared" si="15"/>
        <v>0</v>
      </c>
      <c r="J81" s="46" t="e">
        <f>F81/D81*100</f>
        <v>#DIV/0!</v>
      </c>
      <c r="K81" s="46"/>
      <c r="L81" s="46"/>
      <c r="M81" s="113">
        <f>E81</f>
        <v>0</v>
      </c>
      <c r="N81" s="64"/>
      <c r="O81" s="109">
        <f t="shared" si="23"/>
        <v>0</v>
      </c>
      <c r="P81" s="46" t="e">
        <f>N81/M81*100</f>
        <v>#DIV/0!</v>
      </c>
      <c r="Q81" s="46"/>
      <c r="R81" s="128"/>
    </row>
    <row r="82" spans="1:18" s="66" customFormat="1" ht="18.75" hidden="1">
      <c r="A82" s="62"/>
      <c r="B82" s="76" t="s">
        <v>152</v>
      </c>
      <c r="C82" s="85"/>
      <c r="D82" s="77">
        <v>1171.6179</v>
      </c>
      <c r="E82" s="64">
        <v>1171.6179</v>
      </c>
      <c r="F82" s="112">
        <f>'[2]січень'!$C$27/1000</f>
        <v>0</v>
      </c>
      <c r="G82" s="55">
        <f>F82-E82</f>
        <v>-1171.6179</v>
      </c>
      <c r="H82" s="65"/>
      <c r="I82" s="78">
        <f t="shared" si="15"/>
        <v>-1171.6179</v>
      </c>
      <c r="J82" s="46"/>
      <c r="K82" s="46"/>
      <c r="L82" s="46"/>
      <c r="M82" s="35">
        <f>E82</f>
        <v>1171.6179</v>
      </c>
      <c r="N82" s="64">
        <f>F82</f>
        <v>0</v>
      </c>
      <c r="O82" s="79">
        <f t="shared" si="23"/>
        <v>-1171.6179</v>
      </c>
      <c r="P82" s="46">
        <f>N82/M82*100</f>
        <v>0</v>
      </c>
      <c r="Q82" s="46"/>
      <c r="R82" s="128"/>
    </row>
    <row r="83" spans="1:18" s="66" customFormat="1" ht="37.5" hidden="1">
      <c r="A83" s="62"/>
      <c r="B83" s="76" t="s">
        <v>177</v>
      </c>
      <c r="C83" s="85"/>
      <c r="D83" s="77"/>
      <c r="E83" s="43">
        <v>0</v>
      </c>
      <c r="F83" s="147">
        <v>0</v>
      </c>
      <c r="G83" s="55">
        <f>F83-E83</f>
        <v>0</v>
      </c>
      <c r="H83" s="65"/>
      <c r="I83" s="78"/>
      <c r="J83" s="46"/>
      <c r="K83" s="46"/>
      <c r="L83" s="46"/>
      <c r="M83" s="35">
        <v>0</v>
      </c>
      <c r="N83" s="77">
        <v>0</v>
      </c>
      <c r="O83" s="109">
        <f t="shared" si="23"/>
        <v>0</v>
      </c>
      <c r="P83" s="46"/>
      <c r="Q83" s="46"/>
      <c r="R83" s="128"/>
    </row>
    <row r="84" spans="2:18" ht="15.75">
      <c r="B84" s="25" t="s">
        <v>110</v>
      </c>
      <c r="C84" s="86"/>
      <c r="D84" s="28"/>
      <c r="E84" s="28"/>
      <c r="F84" s="146"/>
      <c r="G84" s="43"/>
      <c r="H84" s="35"/>
      <c r="I84" s="53"/>
      <c r="J84" s="53"/>
      <c r="K84" s="53"/>
      <c r="L84" s="53"/>
      <c r="M84" s="36"/>
      <c r="N84" s="36"/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4.4</v>
      </c>
      <c r="G85" s="43">
        <f aca="true" t="shared" si="24" ref="G85:G93">F85-E85</f>
        <v>4.4</v>
      </c>
      <c r="H85" s="35"/>
      <c r="I85" s="53">
        <f aca="true" t="shared" si="25" ref="I85:I92">F85-D85</f>
        <v>4.4</v>
      </c>
      <c r="J85" s="53"/>
      <c r="K85" s="53">
        <f>F85-24.53</f>
        <v>-20.130000000000003</v>
      </c>
      <c r="L85" s="53">
        <f>F85/24.53*100</f>
        <v>17.937219730941706</v>
      </c>
      <c r="M85" s="35">
        <f>E85</f>
        <v>0</v>
      </c>
      <c r="N85" s="35">
        <f>F85</f>
        <v>4.4</v>
      </c>
      <c r="O85" s="47">
        <f aca="true" t="shared" si="26" ref="O85:O93">N85-M85</f>
        <v>4.4</v>
      </c>
      <c r="P85" s="53" t="e">
        <f>N85/M85*100</f>
        <v>#DIV/0!</v>
      </c>
      <c r="Q85" s="53">
        <f>N85-24.53</f>
        <v>-20.130000000000003</v>
      </c>
      <c r="R85" s="129">
        <f>N85/24.53</f>
        <v>0.17937219730941706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33">
        <f>F85</f>
        <v>4.4</v>
      </c>
      <c r="G86" s="55">
        <f t="shared" si="24"/>
        <v>4.4</v>
      </c>
      <c r="H86" s="65"/>
      <c r="I86" s="54">
        <f t="shared" si="25"/>
        <v>4.4</v>
      </c>
      <c r="J86" s="54"/>
      <c r="K86" s="54">
        <f>F86-92.85</f>
        <v>-88.44999999999999</v>
      </c>
      <c r="L86" s="54">
        <f>F86/92.85*100</f>
        <v>4.73882606354335</v>
      </c>
      <c r="M86" s="55">
        <f>M85</f>
        <v>0</v>
      </c>
      <c r="N86" s="33">
        <f>SUM(N85:N85)</f>
        <v>4.4</v>
      </c>
      <c r="O86" s="54">
        <f t="shared" si="26"/>
        <v>4.4</v>
      </c>
      <c r="P86" s="54"/>
      <c r="Q86" s="54">
        <f>N86-92.85</f>
        <v>-88.44999999999999</v>
      </c>
      <c r="R86" s="130">
        <f>N86/92.85</f>
        <v>0.0473882606354335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24"/>
        <v>0</v>
      </c>
      <c r="H87" s="35" t="e">
        <f aca="true" t="shared" si="27" ref="H87:H93">F87/E87*100</f>
        <v>#DIV/0!</v>
      </c>
      <c r="I87" s="53">
        <f t="shared" si="25"/>
        <v>0</v>
      </c>
      <c r="J87" s="53" t="e">
        <f aca="true" t="shared" si="28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26"/>
        <v>0</v>
      </c>
      <c r="P87" s="53" t="e">
        <f aca="true" t="shared" si="29" ref="P87:P92">N87/M87*100</f>
        <v>#DIV/0!</v>
      </c>
      <c r="Q87" s="53"/>
      <c r="R87" s="129"/>
    </row>
    <row r="88" spans="2:18" ht="31.5">
      <c r="B88" s="26" t="s">
        <v>111</v>
      </c>
      <c r="C88" s="97">
        <v>31030000</v>
      </c>
      <c r="D88" s="167">
        <v>2500</v>
      </c>
      <c r="E88" s="28">
        <v>0</v>
      </c>
      <c r="F88" s="146">
        <v>0.03</v>
      </c>
      <c r="G88" s="43">
        <f t="shared" si="24"/>
        <v>0.03</v>
      </c>
      <c r="H88" s="35" t="e">
        <f t="shared" si="27"/>
        <v>#DIV/0!</v>
      </c>
      <c r="I88" s="53">
        <f t="shared" si="25"/>
        <v>-2499.97</v>
      </c>
      <c r="J88" s="53">
        <f t="shared" si="28"/>
        <v>0.0012000000000000001</v>
      </c>
      <c r="K88" s="53">
        <f>F88-0.04</f>
        <v>-0.010000000000000002</v>
      </c>
      <c r="L88" s="53">
        <f>F88/0.04*100</f>
        <v>75</v>
      </c>
      <c r="M88" s="35">
        <f>E88</f>
        <v>0</v>
      </c>
      <c r="N88" s="35">
        <f>F88</f>
        <v>0.03</v>
      </c>
      <c r="O88" s="47">
        <f t="shared" si="26"/>
        <v>0.03</v>
      </c>
      <c r="P88" s="53" t="e">
        <f t="shared" si="29"/>
        <v>#DIV/0!</v>
      </c>
      <c r="Q88" s="53">
        <f>N88-0.04</f>
        <v>-0.010000000000000002</v>
      </c>
      <c r="R88" s="129">
        <f>N88/0.04</f>
        <v>0.75</v>
      </c>
    </row>
    <row r="89" spans="2:18" ht="15.75">
      <c r="B89" s="26" t="s">
        <v>112</v>
      </c>
      <c r="C89" s="97">
        <v>33010000</v>
      </c>
      <c r="D89" s="167">
        <v>11576</v>
      </c>
      <c r="E89" s="28">
        <v>259.698</v>
      </c>
      <c r="F89" s="146">
        <v>259.69</v>
      </c>
      <c r="G89" s="43">
        <f t="shared" si="24"/>
        <v>-0.007999999999981355</v>
      </c>
      <c r="H89" s="35">
        <f t="shared" si="27"/>
        <v>99.99691949880246</v>
      </c>
      <c r="I89" s="53">
        <f t="shared" si="25"/>
        <v>-11316.31</v>
      </c>
      <c r="J89" s="53">
        <f t="shared" si="28"/>
        <v>2.2433483068417415</v>
      </c>
      <c r="K89" s="53">
        <f>F89-450.01</f>
        <v>-190.32</v>
      </c>
      <c r="L89" s="53">
        <f>F89/450.01*100</f>
        <v>57.70760649763339</v>
      </c>
      <c r="M89" s="35">
        <f>E89</f>
        <v>259.698</v>
      </c>
      <c r="N89" s="35">
        <f>F89</f>
        <v>259.69</v>
      </c>
      <c r="O89" s="47">
        <f t="shared" si="26"/>
        <v>-0.007999999999981355</v>
      </c>
      <c r="P89" s="53">
        <f t="shared" si="29"/>
        <v>99.99691949880246</v>
      </c>
      <c r="Q89" s="53">
        <f>N89-450.01</f>
        <v>-190.32</v>
      </c>
      <c r="R89" s="129">
        <f>N89/450.01</f>
        <v>0.5770760649763339</v>
      </c>
    </row>
    <row r="90" spans="2:18" ht="31.5">
      <c r="B90" s="26" t="s">
        <v>156</v>
      </c>
      <c r="C90" s="97">
        <v>24170000</v>
      </c>
      <c r="D90" s="167">
        <v>3000</v>
      </c>
      <c r="E90" s="28">
        <v>0</v>
      </c>
      <c r="F90" s="146">
        <v>-16.04</v>
      </c>
      <c r="G90" s="43">
        <f t="shared" si="24"/>
        <v>-16.04</v>
      </c>
      <c r="H90" s="35" t="e">
        <f t="shared" si="27"/>
        <v>#DIV/0!</v>
      </c>
      <c r="I90" s="53">
        <f t="shared" si="25"/>
        <v>-3016.04</v>
      </c>
      <c r="J90" s="53">
        <f t="shared" si="28"/>
        <v>-0.5346666666666666</v>
      </c>
      <c r="K90" s="53">
        <f>F90-1.05</f>
        <v>-17.09</v>
      </c>
      <c r="L90" s="53">
        <f>F90/1.05*100</f>
        <v>-1527.6190476190475</v>
      </c>
      <c r="M90" s="35">
        <f>E90</f>
        <v>0</v>
      </c>
      <c r="N90" s="35">
        <f>F90</f>
        <v>-16.04</v>
      </c>
      <c r="O90" s="47">
        <f t="shared" si="26"/>
        <v>-16.04</v>
      </c>
      <c r="P90" s="53" t="e">
        <f t="shared" si="29"/>
        <v>#DIV/0!</v>
      </c>
      <c r="Q90" s="53">
        <f>N90-1.05</f>
        <v>-17.09</v>
      </c>
      <c r="R90" s="129">
        <f>N90/1.05</f>
        <v>-15.276190476190475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259.698</v>
      </c>
      <c r="F91" s="145">
        <f>F88+F89+F90</f>
        <v>243.67999999999998</v>
      </c>
      <c r="G91" s="55">
        <f t="shared" si="24"/>
        <v>-16.018</v>
      </c>
      <c r="H91" s="65">
        <f t="shared" si="27"/>
        <v>93.83206647721585</v>
      </c>
      <c r="I91" s="54">
        <f t="shared" si="25"/>
        <v>-16832.32</v>
      </c>
      <c r="J91" s="54">
        <f t="shared" si="28"/>
        <v>1.4270320918247832</v>
      </c>
      <c r="K91" s="54">
        <f>F91-7985.28</f>
        <v>-7741.599999999999</v>
      </c>
      <c r="L91" s="54">
        <f>F91/7985.28*100</f>
        <v>3.0516149715476475</v>
      </c>
      <c r="M91" s="55">
        <f>M88+M89+M90</f>
        <v>259.698</v>
      </c>
      <c r="N91" s="55">
        <f>N88+N89+N90</f>
        <v>243.67999999999998</v>
      </c>
      <c r="O91" s="54">
        <f t="shared" si="26"/>
        <v>-16.018</v>
      </c>
      <c r="P91" s="54">
        <f t="shared" si="29"/>
        <v>93.83206647721585</v>
      </c>
      <c r="Q91" s="54">
        <f>N91-7985.28</f>
        <v>-7741.599999999999</v>
      </c>
      <c r="R91" s="173">
        <f>N91/7985.28</f>
        <v>0.030516149715476476</v>
      </c>
      <c r="S91" s="174"/>
    </row>
    <row r="92" spans="2:18" ht="47.25">
      <c r="B92" s="14" t="s">
        <v>124</v>
      </c>
      <c r="C92" s="100">
        <v>24062100</v>
      </c>
      <c r="D92" s="167">
        <v>35</v>
      </c>
      <c r="E92" s="28">
        <v>0</v>
      </c>
      <c r="F92" s="146">
        <v>0</v>
      </c>
      <c r="G92" s="43">
        <f t="shared" si="24"/>
        <v>0</v>
      </c>
      <c r="H92" s="35" t="e">
        <f t="shared" si="27"/>
        <v>#DIV/0!</v>
      </c>
      <c r="I92" s="53">
        <f t="shared" si="25"/>
        <v>-35</v>
      </c>
      <c r="J92" s="53">
        <f t="shared" si="28"/>
        <v>0</v>
      </c>
      <c r="K92" s="53">
        <f>F92-0.16</f>
        <v>-0.16</v>
      </c>
      <c r="L92" s="53">
        <f>F92/0.16*100</f>
        <v>0</v>
      </c>
      <c r="M92" s="35">
        <f aca="true" t="shared" si="30" ref="M92:N94">E92</f>
        <v>0</v>
      </c>
      <c r="N92" s="35">
        <f t="shared" si="30"/>
        <v>0</v>
      </c>
      <c r="O92" s="47">
        <f t="shared" si="26"/>
        <v>0</v>
      </c>
      <c r="P92" s="53" t="e">
        <f t="shared" si="29"/>
        <v>#DIV/0!</v>
      </c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24"/>
        <v>0</v>
      </c>
      <c r="H93" s="35" t="e">
        <f t="shared" si="27"/>
        <v>#DIV/0!</v>
      </c>
      <c r="I93" s="56"/>
      <c r="J93" s="56"/>
      <c r="K93" s="56"/>
      <c r="L93" s="53">
        <f>F93</f>
        <v>0</v>
      </c>
      <c r="M93" s="35">
        <f t="shared" si="30"/>
        <v>0</v>
      </c>
      <c r="N93" s="35">
        <f t="shared" si="30"/>
        <v>0</v>
      </c>
      <c r="O93" s="47">
        <f t="shared" si="26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167">
        <v>19</v>
      </c>
      <c r="E94" s="28">
        <v>0</v>
      </c>
      <c r="F94" s="146">
        <v>0</v>
      </c>
      <c r="G94" s="43"/>
      <c r="H94" s="35"/>
      <c r="I94" s="56"/>
      <c r="J94" s="56"/>
      <c r="K94" s="47">
        <f>F94-8.76</f>
        <v>-8.76</v>
      </c>
      <c r="L94" s="53">
        <f>F94/8.76*100</f>
        <v>0</v>
      </c>
      <c r="M94" s="35">
        <f t="shared" si="30"/>
        <v>0</v>
      </c>
      <c r="N94" s="35">
        <f t="shared" si="30"/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0.17</v>
      </c>
      <c r="G95" s="43">
        <f>F95-E95</f>
        <v>0.17</v>
      </c>
      <c r="H95" s="35"/>
      <c r="I95" s="53">
        <f>F95-D95</f>
        <v>0.17</v>
      </c>
      <c r="J95" s="53"/>
      <c r="K95" s="53">
        <f>F95-(-0.21)</f>
        <v>0.38</v>
      </c>
      <c r="L95" s="53"/>
      <c r="M95" s="35">
        <f>E95</f>
        <v>0</v>
      </c>
      <c r="N95" s="35">
        <v>0.17</v>
      </c>
      <c r="O95" s="47">
        <f>N95-M95</f>
        <v>0.17</v>
      </c>
      <c r="P95" s="53"/>
      <c r="Q95" s="53">
        <f>N95-(-0.21)</f>
        <v>0.38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0</v>
      </c>
      <c r="F96" s="145">
        <f>F92+F95+F94</f>
        <v>0.17</v>
      </c>
      <c r="G96" s="55">
        <f>F96-E96</f>
        <v>0.17</v>
      </c>
      <c r="H96" s="65" t="e">
        <f>F96/E96*100</f>
        <v>#DIV/0!</v>
      </c>
      <c r="I96" s="54">
        <f>F96-D96</f>
        <v>-53.83</v>
      </c>
      <c r="J96" s="54">
        <f>F96/D96*100</f>
        <v>0.3148148148148148</v>
      </c>
      <c r="K96" s="54">
        <f>F96-26.38</f>
        <v>-26.209999999999997</v>
      </c>
      <c r="L96" s="54">
        <f>F96/26.38*100</f>
        <v>0.6444275966641395</v>
      </c>
      <c r="M96" s="55">
        <f>M92+M95+M94</f>
        <v>0</v>
      </c>
      <c r="N96" s="55">
        <f>N92+N95+N94</f>
        <v>0.17</v>
      </c>
      <c r="O96" s="54">
        <f>N96-M96</f>
        <v>0.17</v>
      </c>
      <c r="P96" s="54" t="e">
        <f>N96/M96*100</f>
        <v>#DIV/0!</v>
      </c>
      <c r="Q96" s="54">
        <f>N96-26.38</f>
        <v>-26.209999999999997</v>
      </c>
      <c r="R96" s="128">
        <f>N96/26.38</f>
        <v>0.006444275966641396</v>
      </c>
    </row>
    <row r="97" spans="2:18" ht="31.5">
      <c r="B97" s="14" t="s">
        <v>125</v>
      </c>
      <c r="C97" s="59">
        <v>24110900</v>
      </c>
      <c r="D97" s="167">
        <v>42</v>
      </c>
      <c r="E97" s="28">
        <v>0.59</v>
      </c>
      <c r="F97" s="146">
        <v>0.59</v>
      </c>
      <c r="G97" s="43">
        <f>F97-E97</f>
        <v>0</v>
      </c>
      <c r="H97" s="35">
        <f>F97/E97*100</f>
        <v>100</v>
      </c>
      <c r="I97" s="53">
        <f>F97-D97</f>
        <v>-41.41</v>
      </c>
      <c r="J97" s="53">
        <f>F97/D97*100</f>
        <v>1.4047619047619047</v>
      </c>
      <c r="K97" s="53">
        <f>F97-0.45</f>
        <v>0.13999999999999996</v>
      </c>
      <c r="L97" s="53">
        <f>F97/0.45*100</f>
        <v>131.11111111111111</v>
      </c>
      <c r="M97" s="35">
        <f>E97</f>
        <v>0.59</v>
      </c>
      <c r="N97" s="35">
        <f>F97</f>
        <v>0.59</v>
      </c>
      <c r="O97" s="47">
        <f>N97-M97</f>
        <v>0</v>
      </c>
      <c r="P97" s="53">
        <f>N97/M97*100</f>
        <v>100</v>
      </c>
      <c r="Q97" s="53">
        <f>N97-0.45</f>
        <v>0.13999999999999996</v>
      </c>
      <c r="R97" s="129">
        <f>N97/0.45</f>
        <v>1.3111111111111111</v>
      </c>
    </row>
    <row r="98" spans="2:18" ht="23.25" customHeight="1">
      <c r="B98" s="17" t="s">
        <v>114</v>
      </c>
      <c r="C98" s="88"/>
      <c r="D98" s="27">
        <f>D86+D97+D91+D96</f>
        <v>17172</v>
      </c>
      <c r="E98" s="27">
        <f>E86+E97+E91+E96</f>
        <v>260.28799999999995</v>
      </c>
      <c r="F98" s="148">
        <f>F86+F97+F91+F96</f>
        <v>248.83999999999997</v>
      </c>
      <c r="G98" s="44">
        <f>F98-E98</f>
        <v>-11.447999999999979</v>
      </c>
      <c r="H98" s="45">
        <f>F98/E98*100</f>
        <v>95.60179493484141</v>
      </c>
      <c r="I98" s="31">
        <f>F98-D98</f>
        <v>-16923.16</v>
      </c>
      <c r="J98" s="31">
        <f>F98/D98*100</f>
        <v>1.449103191241556</v>
      </c>
      <c r="K98" s="31">
        <f>F98-8104.96</f>
        <v>-7856.12</v>
      </c>
      <c r="L98" s="31">
        <f>F98/8104.96*100</f>
        <v>3.0702187302590014</v>
      </c>
      <c r="M98" s="27">
        <f>M86+M97+M91+M96</f>
        <v>260.28799999999995</v>
      </c>
      <c r="N98" s="27">
        <f>N86+N97+N91+N96</f>
        <v>248.83999999999997</v>
      </c>
      <c r="O98" s="31">
        <f>N98-M98</f>
        <v>-11.447999999999979</v>
      </c>
      <c r="P98" s="31">
        <f>N98/M98*100</f>
        <v>95.60179493484141</v>
      </c>
      <c r="Q98" s="31">
        <f>N98-8104.96</f>
        <v>-7856.12</v>
      </c>
      <c r="R98" s="127">
        <f>N98/8104.96</f>
        <v>0.030702187302590014</v>
      </c>
    </row>
    <row r="99" spans="2:18" ht="18.75">
      <c r="B99" s="24" t="s">
        <v>115</v>
      </c>
      <c r="C99" s="88"/>
      <c r="D99" s="27">
        <f>D80+D98</f>
        <v>547194.6</v>
      </c>
      <c r="E99" s="27">
        <f>E80+E98</f>
        <v>36353.988000000005</v>
      </c>
      <c r="F99" s="148">
        <f>F80+F98</f>
        <v>38987.35599999999</v>
      </c>
      <c r="G99" s="44">
        <f>F99-E99</f>
        <v>2633.3679999999877</v>
      </c>
      <c r="H99" s="45">
        <f>F99/E99*100</f>
        <v>107.24368396666684</v>
      </c>
      <c r="I99" s="31">
        <f>F99-D99</f>
        <v>-508207.244</v>
      </c>
      <c r="J99" s="31">
        <f>F99/D99*100</f>
        <v>7.124952621973973</v>
      </c>
      <c r="K99" s="31">
        <f>F99-42872.96</f>
        <v>-3885.6040000000066</v>
      </c>
      <c r="L99" s="31">
        <f>F99/42872.96*100</f>
        <v>90.93693554165607</v>
      </c>
      <c r="M99" s="18">
        <f>M80+M98</f>
        <v>36353.988000000005</v>
      </c>
      <c r="N99" s="18">
        <f>N80+N98</f>
        <v>38987.35599999999</v>
      </c>
      <c r="O99" s="31">
        <f>N99-M99</f>
        <v>2633.3679999999877</v>
      </c>
      <c r="P99" s="31">
        <f>N99/M99*100</f>
        <v>107.24368396666684</v>
      </c>
      <c r="Q99" s="31">
        <f>N99-42872.96</f>
        <v>-3885.6040000000066</v>
      </c>
      <c r="R99" s="127">
        <f>N99/42872.96</f>
        <v>0.9093693554165607</v>
      </c>
    </row>
    <row r="100" spans="2:14" ht="15.75">
      <c r="B100" s="23" t="s">
        <v>117</v>
      </c>
      <c r="N100" s="29"/>
    </row>
    <row r="101" spans="2:4" ht="15.75">
      <c r="B101" s="4" t="s">
        <v>119</v>
      </c>
      <c r="C101" s="101">
        <v>0</v>
      </c>
      <c r="D101" s="4" t="s">
        <v>118</v>
      </c>
    </row>
    <row r="102" spans="2:17" ht="31.5">
      <c r="B102" s="71" t="s">
        <v>154</v>
      </c>
      <c r="C102" s="34">
        <f>IF(O80&lt;0,ABS(O80/C101),0)</f>
        <v>0</v>
      </c>
      <c r="D102" s="4" t="s">
        <v>104</v>
      </c>
      <c r="G102" s="231"/>
      <c r="H102" s="231"/>
      <c r="I102" s="231"/>
      <c r="J102" s="231"/>
      <c r="K102" s="115"/>
      <c r="L102" s="115"/>
      <c r="P102" s="29"/>
      <c r="Q102" s="29"/>
    </row>
    <row r="103" spans="2:15" ht="34.5" customHeight="1">
      <c r="B103" s="72" t="s">
        <v>159</v>
      </c>
      <c r="C103" s="111">
        <v>42034</v>
      </c>
      <c r="D103" s="34">
        <v>5538.3</v>
      </c>
      <c r="N103" s="232"/>
      <c r="O103" s="232"/>
    </row>
    <row r="104" spans="3:15" ht="15.75">
      <c r="C104" s="111">
        <v>42033</v>
      </c>
      <c r="D104" s="34">
        <v>2896.5</v>
      </c>
      <c r="F104" s="155" t="s">
        <v>166</v>
      </c>
      <c r="G104" s="238" t="s">
        <v>151</v>
      </c>
      <c r="H104" s="238"/>
      <c r="I104" s="106">
        <f>'січень '!I139</f>
        <v>8909.733</v>
      </c>
      <c r="J104" s="254" t="s">
        <v>161</v>
      </c>
      <c r="K104" s="254"/>
      <c r="L104" s="254"/>
      <c r="M104" s="254"/>
      <c r="N104" s="232"/>
      <c r="O104" s="232"/>
    </row>
    <row r="105" spans="3:15" ht="15.75">
      <c r="C105" s="111">
        <v>42032</v>
      </c>
      <c r="D105" s="34">
        <v>2838.1</v>
      </c>
      <c r="G105" s="249" t="s">
        <v>155</v>
      </c>
      <c r="H105" s="249"/>
      <c r="I105" s="103">
        <f>'січень '!I140</f>
        <v>0</v>
      </c>
      <c r="J105" s="257" t="s">
        <v>162</v>
      </c>
      <c r="K105" s="257"/>
      <c r="L105" s="257"/>
      <c r="M105" s="257"/>
      <c r="N105" s="232"/>
      <c r="O105" s="232"/>
    </row>
    <row r="106" spans="7:13" ht="15.75" customHeight="1">
      <c r="G106" s="238" t="s">
        <v>148</v>
      </c>
      <c r="H106" s="238"/>
      <c r="I106" s="103">
        <f>'січень '!I141</f>
        <v>0</v>
      </c>
      <c r="J106" s="254" t="s">
        <v>163</v>
      </c>
      <c r="K106" s="254"/>
      <c r="L106" s="254"/>
      <c r="M106" s="254"/>
    </row>
    <row r="107" spans="2:13" ht="18.75" customHeight="1">
      <c r="B107" s="242" t="s">
        <v>160</v>
      </c>
      <c r="C107" s="243"/>
      <c r="D107" s="108">
        <f>'січень '!D142</f>
        <v>132375.63</v>
      </c>
      <c r="E107" s="73"/>
      <c r="F107" s="156" t="s">
        <v>147</v>
      </c>
      <c r="G107" s="238" t="s">
        <v>149</v>
      </c>
      <c r="H107" s="238"/>
      <c r="I107" s="107">
        <f>'січень '!I142</f>
        <v>123465.893</v>
      </c>
      <c r="J107" s="254" t="s">
        <v>164</v>
      </c>
      <c r="K107" s="254"/>
      <c r="L107" s="254"/>
      <c r="M107" s="254"/>
    </row>
    <row r="108" spans="7:12" ht="9.75" customHeight="1">
      <c r="G108" s="233"/>
      <c r="H108" s="233"/>
      <c r="I108" s="90"/>
      <c r="J108" s="91"/>
      <c r="K108" s="91"/>
      <c r="L108" s="91"/>
    </row>
    <row r="109" spans="2:12" ht="22.5" customHeight="1" hidden="1">
      <c r="B109" s="244" t="s">
        <v>167</v>
      </c>
      <c r="C109" s="245"/>
      <c r="D109" s="110">
        <v>0</v>
      </c>
      <c r="E109" s="70" t="s">
        <v>104</v>
      </c>
      <c r="G109" s="233"/>
      <c r="H109" s="233"/>
      <c r="I109" s="90"/>
      <c r="J109" s="91"/>
      <c r="K109" s="91"/>
      <c r="L109" s="91"/>
    </row>
    <row r="110" spans="4:15" ht="15.75">
      <c r="D110" s="105"/>
      <c r="N110" s="233"/>
      <c r="O110" s="233"/>
    </row>
    <row r="111" spans="4:15" ht="15.75">
      <c r="D111" s="104"/>
      <c r="I111" s="34"/>
      <c r="N111" s="246"/>
      <c r="O111" s="246"/>
    </row>
    <row r="112" spans="14:15" ht="15.75">
      <c r="N112" s="233"/>
      <c r="O112" s="233"/>
    </row>
  </sheetData>
  <mergeCells count="39">
    <mergeCell ref="N112:O112"/>
    <mergeCell ref="B109:C109"/>
    <mergeCell ref="G109:H109"/>
    <mergeCell ref="N110:O110"/>
    <mergeCell ref="N111:O111"/>
    <mergeCell ref="B107:C107"/>
    <mergeCell ref="G107:H107"/>
    <mergeCell ref="J107:M107"/>
    <mergeCell ref="G108:H108"/>
    <mergeCell ref="G105:H105"/>
    <mergeCell ref="J105:M105"/>
    <mergeCell ref="N105:O105"/>
    <mergeCell ref="G106:H106"/>
    <mergeCell ref="J106:M106"/>
    <mergeCell ref="Q5:R5"/>
    <mergeCell ref="G102:J102"/>
    <mergeCell ref="N103:O103"/>
    <mergeCell ref="G104:H104"/>
    <mergeCell ref="J104:M104"/>
    <mergeCell ref="N104:O104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workbookViewId="0" topLeftCell="B1">
      <pane xSplit="2" ySplit="9" topLeftCell="D74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3" sqref="G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205" t="s">
        <v>193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117"/>
      <c r="R1" s="118"/>
    </row>
    <row r="2" spans="2:18" s="1" customFormat="1" ht="15.75" customHeight="1">
      <c r="B2" s="206"/>
      <c r="C2" s="206"/>
      <c r="D2" s="206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07"/>
      <c r="B3" s="209" t="s">
        <v>203</v>
      </c>
      <c r="C3" s="210" t="s">
        <v>0</v>
      </c>
      <c r="D3" s="211" t="s">
        <v>190</v>
      </c>
      <c r="E3" s="40"/>
      <c r="F3" s="212" t="s">
        <v>107</v>
      </c>
      <c r="G3" s="213"/>
      <c r="H3" s="213"/>
      <c r="I3" s="213"/>
      <c r="J3" s="214"/>
      <c r="K3" s="114"/>
      <c r="L3" s="114"/>
      <c r="M3" s="215" t="s">
        <v>187</v>
      </c>
      <c r="N3" s="218" t="s">
        <v>175</v>
      </c>
      <c r="O3" s="218"/>
      <c r="P3" s="218"/>
      <c r="Q3" s="218"/>
      <c r="R3" s="218"/>
    </row>
    <row r="4" spans="1:18" ht="22.5" customHeight="1">
      <c r="A4" s="207"/>
      <c r="B4" s="209"/>
      <c r="C4" s="210"/>
      <c r="D4" s="211"/>
      <c r="E4" s="219" t="s">
        <v>153</v>
      </c>
      <c r="F4" s="223" t="s">
        <v>116</v>
      </c>
      <c r="G4" s="225" t="s">
        <v>173</v>
      </c>
      <c r="H4" s="250" t="s">
        <v>174</v>
      </c>
      <c r="I4" s="252" t="s">
        <v>186</v>
      </c>
      <c r="J4" s="255" t="s">
        <v>189</v>
      </c>
      <c r="K4" s="116" t="s">
        <v>172</v>
      </c>
      <c r="L4" s="121" t="s">
        <v>171</v>
      </c>
      <c r="M4" s="216"/>
      <c r="N4" s="235" t="s">
        <v>194</v>
      </c>
      <c r="O4" s="252" t="s">
        <v>136</v>
      </c>
      <c r="P4" s="218" t="s">
        <v>135</v>
      </c>
      <c r="Q4" s="122" t="s">
        <v>172</v>
      </c>
      <c r="R4" s="123" t="s">
        <v>171</v>
      </c>
    </row>
    <row r="5" spans="1:19" ht="92.25" customHeight="1">
      <c r="A5" s="208"/>
      <c r="B5" s="209"/>
      <c r="C5" s="210"/>
      <c r="D5" s="211"/>
      <c r="E5" s="220"/>
      <c r="F5" s="224"/>
      <c r="G5" s="226"/>
      <c r="H5" s="251"/>
      <c r="I5" s="253"/>
      <c r="J5" s="256"/>
      <c r="K5" s="221" t="s">
        <v>188</v>
      </c>
      <c r="L5" s="222"/>
      <c r="M5" s="217"/>
      <c r="N5" s="236"/>
      <c r="O5" s="253"/>
      <c r="P5" s="218"/>
      <c r="Q5" s="221" t="s">
        <v>176</v>
      </c>
      <c r="R5" s="222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35088.770000000004</v>
      </c>
      <c r="G8" s="18">
        <f aca="true" t="shared" si="0" ref="G8:G30">F8-E8</f>
        <v>16410.820000000003</v>
      </c>
      <c r="H8" s="45">
        <f>F8/E8*100</f>
        <v>187.8619977031741</v>
      </c>
      <c r="I8" s="31">
        <f aca="true" t="shared" si="1" ref="I8:I17">F8-D8</f>
        <v>-154681.93</v>
      </c>
      <c r="J8" s="31">
        <f aca="true" t="shared" si="2" ref="J8:J14">F8/D8*100</f>
        <v>18.490088301302574</v>
      </c>
      <c r="K8" s="31">
        <f>F8-33748.2</f>
        <v>1340.570000000007</v>
      </c>
      <c r="L8" s="31">
        <f>F8/33748.2*100</f>
        <v>103.97227111371868</v>
      </c>
      <c r="M8" s="18">
        <f>M10+M19+M33+M56+M68+M30</f>
        <v>18677.95</v>
      </c>
      <c r="N8" s="18">
        <f>N10+N19+N33+N56+N68+N30</f>
        <v>35088.770000000004</v>
      </c>
      <c r="O8" s="31">
        <f aca="true" t="shared" si="3" ref="O8:O55">N8-M8</f>
        <v>16410.820000000003</v>
      </c>
      <c r="P8" s="31">
        <f>F8/M8*100</f>
        <v>187.8619977031741</v>
      </c>
      <c r="Q8" s="31">
        <f>N8-33748.16</f>
        <v>1340.6100000000006</v>
      </c>
      <c r="R8" s="125">
        <f>N8/33748.16</f>
        <v>1.0397239434683254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29011.72</v>
      </c>
      <c r="G9" s="18">
        <f t="shared" si="0"/>
        <v>29011.72</v>
      </c>
      <c r="H9" s="16"/>
      <c r="I9" s="50">
        <f t="shared" si="1"/>
        <v>-114951.98000000001</v>
      </c>
      <c r="J9" s="50">
        <f t="shared" si="2"/>
        <v>20.152107788282738</v>
      </c>
      <c r="K9" s="50"/>
      <c r="L9" s="50"/>
      <c r="M9" s="16">
        <f>M10+M17</f>
        <v>11344.95</v>
      </c>
      <c r="N9" s="16">
        <f>N10+N17</f>
        <v>29011.72</v>
      </c>
      <c r="O9" s="31">
        <f t="shared" si="3"/>
        <v>17666.77</v>
      </c>
      <c r="P9" s="50">
        <f>F9/M9*100</f>
        <v>255.72364796671647</v>
      </c>
      <c r="Q9" s="50"/>
      <c r="R9" s="126"/>
    </row>
    <row r="10" spans="1:20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29011.72</v>
      </c>
      <c r="G10" s="43">
        <f t="shared" si="0"/>
        <v>17666.77</v>
      </c>
      <c r="H10" s="35">
        <f aca="true" t="shared" si="4" ref="H10:H17">F10/E10*100</f>
        <v>255.72364796671647</v>
      </c>
      <c r="I10" s="50">
        <f t="shared" si="1"/>
        <v>-114951.98000000001</v>
      </c>
      <c r="J10" s="50">
        <f t="shared" si="2"/>
        <v>20.152107788282738</v>
      </c>
      <c r="K10" s="132">
        <f>F10-26568.11</f>
        <v>2443.6100000000006</v>
      </c>
      <c r="L10" s="132">
        <f>F10/26568.11*100</f>
        <v>109.19753042275117</v>
      </c>
      <c r="M10" s="35">
        <f>E10</f>
        <v>11344.95</v>
      </c>
      <c r="N10" s="35">
        <f>F10</f>
        <v>29011.72</v>
      </c>
      <c r="O10" s="47">
        <f t="shared" si="3"/>
        <v>17666.77</v>
      </c>
      <c r="P10" s="50">
        <f aca="true" t="shared" si="5" ref="P10:P17">N10/M10*100</f>
        <v>255.72364796671647</v>
      </c>
      <c r="Q10" s="132">
        <f>N10-26568.11</f>
        <v>2443.6100000000006</v>
      </c>
      <c r="R10" s="133">
        <f>N10/26568.11</f>
        <v>1.0919753042275118</v>
      </c>
      <c r="S10" s="158">
        <f>0-F10/75*15</f>
        <v>-5802.344000000001</v>
      </c>
      <c r="T10" s="6" t="s">
        <v>196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-566.34</v>
      </c>
      <c r="G19" s="43">
        <f t="shared" si="0"/>
        <v>-666.34</v>
      </c>
      <c r="H19" s="35">
        <f aca="true" t="shared" si="8" ref="H19:H29">F19/E19*100</f>
        <v>-566.34</v>
      </c>
      <c r="I19" s="50">
        <f aca="true" t="shared" si="9" ref="I19:I28">F19-D19</f>
        <v>-1166.3400000000001</v>
      </c>
      <c r="J19" s="50">
        <f aca="true" t="shared" si="10" ref="J19:J28">F19/D19*100</f>
        <v>-94.39</v>
      </c>
      <c r="K19" s="50">
        <f>F19-358.81</f>
        <v>-925.1500000000001</v>
      </c>
      <c r="L19" s="50">
        <f>F19/358.81*100</f>
        <v>-157.83841030071625</v>
      </c>
      <c r="M19" s="35">
        <f t="shared" si="6"/>
        <v>100</v>
      </c>
      <c r="N19" s="35">
        <f t="shared" si="7"/>
        <v>-566.34</v>
      </c>
      <c r="O19" s="47">
        <f t="shared" si="3"/>
        <v>-666.34</v>
      </c>
      <c r="P19" s="50">
        <f aca="true" t="shared" si="11" ref="P19:P29">N19/M19*100</f>
        <v>-566.34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-438.35</v>
      </c>
      <c r="G29" s="43">
        <f t="shared" si="0"/>
        <v>-538.35</v>
      </c>
      <c r="H29" s="35">
        <f t="shared" si="8"/>
        <v>-438.3500000000001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 t="shared" si="6"/>
        <v>100</v>
      </c>
      <c r="N29" s="35">
        <f t="shared" si="7"/>
        <v>-438.35</v>
      </c>
      <c r="O29" s="47">
        <f t="shared" si="3"/>
        <v>-538.35</v>
      </c>
      <c r="P29" s="50">
        <f t="shared" si="11"/>
        <v>-438.3500000000001</v>
      </c>
      <c r="Q29" s="136">
        <f>N29-358.81</f>
        <v>-797.1600000000001</v>
      </c>
      <c r="R29" s="141">
        <f>N29/358.79</f>
        <v>-1.2217453106273866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6498.01</v>
      </c>
      <c r="G33" s="43">
        <f aca="true" t="shared" si="16" ref="G33:G55">F33-E33</f>
        <v>-181.98999999999978</v>
      </c>
      <c r="H33" s="35">
        <f aca="true" t="shared" si="17" ref="H33:H55">F33/E33*100</f>
        <v>97.27559880239521</v>
      </c>
      <c r="I33" s="50">
        <f>F33-D33</f>
        <v>-35081.99</v>
      </c>
      <c r="J33" s="50">
        <f aca="true" t="shared" si="18" ref="J33:J55">F33/D33*100</f>
        <v>15.627729677729679</v>
      </c>
      <c r="K33" s="132">
        <f>F33-6293.29</f>
        <v>204.72000000000025</v>
      </c>
      <c r="L33" s="132">
        <f>F33/6293.29*100</f>
        <v>103.25298850045048</v>
      </c>
      <c r="M33" s="35">
        <f t="shared" si="6"/>
        <v>6680</v>
      </c>
      <c r="N33" s="35">
        <f t="shared" si="7"/>
        <v>6498.01</v>
      </c>
      <c r="O33" s="47">
        <f t="shared" si="3"/>
        <v>-181.98999999999978</v>
      </c>
      <c r="P33" s="50">
        <f aca="true" t="shared" si="19" ref="P33:P55">N33/M33*100</f>
        <v>97.27559880239521</v>
      </c>
      <c r="Q33" s="132">
        <f>N33-6293.29</f>
        <v>204.72000000000025</v>
      </c>
      <c r="R33" s="133">
        <f>N33/6293.29</f>
        <v>1.0325298850045048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4995.94</v>
      </c>
      <c r="G55" s="135">
        <f t="shared" si="16"/>
        <v>-254.0600000000004</v>
      </c>
      <c r="H55" s="137">
        <f t="shared" si="17"/>
        <v>95.1607619047619</v>
      </c>
      <c r="I55" s="136">
        <f t="shared" si="20"/>
        <v>-26604.06</v>
      </c>
      <c r="J55" s="136">
        <f t="shared" si="18"/>
        <v>15.809936708860759</v>
      </c>
      <c r="K55" s="136">
        <f>F55-4687.91</f>
        <v>308.02999999999975</v>
      </c>
      <c r="L55" s="136">
        <f>F55/4687.91*100</f>
        <v>106.57073194664572</v>
      </c>
      <c r="M55" s="137">
        <f t="shared" si="6"/>
        <v>5250</v>
      </c>
      <c r="N55" s="137">
        <f t="shared" si="7"/>
        <v>4995.94</v>
      </c>
      <c r="O55" s="138">
        <f t="shared" si="3"/>
        <v>-254.0600000000004</v>
      </c>
      <c r="P55" s="136">
        <f t="shared" si="19"/>
        <v>95.1607619047619</v>
      </c>
      <c r="Q55" s="139">
        <f>N55-4687.91</f>
        <v>308.02999999999975</v>
      </c>
      <c r="R55" s="140">
        <f>N55/4687.91</f>
        <v>1.0657073194664572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145.11</v>
      </c>
      <c r="G56" s="43">
        <f aca="true" t="shared" si="25" ref="G56:G72">F56-E56</f>
        <v>-407.89</v>
      </c>
      <c r="H56" s="35">
        <f aca="true" t="shared" si="26" ref="H56:H67">F56/E56*100</f>
        <v>26.240506329113927</v>
      </c>
      <c r="I56" s="50">
        <f aca="true" t="shared" si="27" ref="I56:I72">F56-D56</f>
        <v>-3481.89</v>
      </c>
      <c r="J56" s="50">
        <f aca="true" t="shared" si="28" ref="J56:J72">F56/D56*100</f>
        <v>4.000827129859388</v>
      </c>
      <c r="K56" s="50">
        <f>F56-527.8</f>
        <v>-382.68999999999994</v>
      </c>
      <c r="L56" s="50">
        <f>F56/527.8*100</f>
        <v>27.493368700265258</v>
      </c>
      <c r="M56" s="35">
        <f t="shared" si="6"/>
        <v>553</v>
      </c>
      <c r="N56" s="35">
        <f t="shared" si="7"/>
        <v>145.11</v>
      </c>
      <c r="O56" s="47">
        <f aca="true" t="shared" si="29" ref="O56:O72">N56-M56</f>
        <v>-407.89</v>
      </c>
      <c r="P56" s="50">
        <f aca="true" t="shared" si="30" ref="P56:P67">N56/M56*100</f>
        <v>26.240506329113927</v>
      </c>
      <c r="Q56" s="50">
        <f>N56-527.8</f>
        <v>-382.68999999999994</v>
      </c>
      <c r="R56" s="126">
        <f>N56/527.8</f>
        <v>0.2749336870026526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 t="shared" si="25"/>
        <v>0.15</v>
      </c>
      <c r="H68" s="35"/>
      <c r="I68" s="50">
        <f t="shared" si="27"/>
        <v>0.15</v>
      </c>
      <c r="J68" s="50" t="e">
        <f t="shared" si="28"/>
        <v>#DIV/0!</v>
      </c>
      <c r="K68" s="50">
        <f>F68-0.15</f>
        <v>0</v>
      </c>
      <c r="L68" s="50">
        <f>F68/0.15*100</f>
        <v>100</v>
      </c>
      <c r="M68" s="35">
        <f t="shared" si="6"/>
        <v>0</v>
      </c>
      <c r="N68" s="35">
        <f t="shared" si="7"/>
        <v>0.15</v>
      </c>
      <c r="O68" s="47">
        <f t="shared" si="29"/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1022.35</v>
      </c>
      <c r="G74" s="44">
        <f aca="true" t="shared" si="32" ref="G74:G92">F74-E74</f>
        <v>-68.64999999999998</v>
      </c>
      <c r="H74" s="45">
        <f aca="true" t="shared" si="33" ref="H74:H86">F74/E74*100</f>
        <v>93.70760769935839</v>
      </c>
      <c r="I74" s="31">
        <f aca="true" t="shared" si="34" ref="I74:I92">F74-D74</f>
        <v>-5609.65</v>
      </c>
      <c r="J74" s="31">
        <f aca="true" t="shared" si="35" ref="J74:J92">F74/D74*100</f>
        <v>15.415410132689988</v>
      </c>
      <c r="K74" s="31">
        <f>F74-1017.6</f>
        <v>4.75</v>
      </c>
      <c r="L74" s="31">
        <f>F74/1017.6*100</f>
        <v>100.46678459119495</v>
      </c>
      <c r="M74" s="18">
        <f>M77+M86+M88+M89+M94+M95+M96+M97+M99+M87</f>
        <v>1091</v>
      </c>
      <c r="N74" s="18">
        <f>N77+N86+N88+N89+N94+N95+N96+N97+N99+N32+N103+N87</f>
        <v>1022.35</v>
      </c>
      <c r="O74" s="49">
        <f aca="true" t="shared" si="36" ref="O74:O92">N74-M74</f>
        <v>-68.64999999999998</v>
      </c>
      <c r="P74" s="31">
        <f>N74/M74*100</f>
        <v>93.70760769935839</v>
      </c>
      <c r="Q74" s="31">
        <f>N74-1017.63</f>
        <v>4.720000000000027</v>
      </c>
      <c r="R74" s="127">
        <f>N74/1017.63</f>
        <v>1.0046382280396609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1.67</v>
      </c>
      <c r="O87" s="47"/>
      <c r="P87" s="50"/>
      <c r="Q87" s="50">
        <f>N87-4.23</f>
        <v>-2.5600000000000005</v>
      </c>
      <c r="R87" s="126">
        <f>N87/4.23</f>
        <v>0.3947990543735224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7.57</v>
      </c>
      <c r="G89" s="43">
        <f t="shared" si="32"/>
        <v>-2.4299999999999997</v>
      </c>
      <c r="H89" s="35">
        <f>F89/E89*100</f>
        <v>75.7</v>
      </c>
      <c r="I89" s="50">
        <f t="shared" si="34"/>
        <v>-52.43</v>
      </c>
      <c r="J89" s="50">
        <f t="shared" si="35"/>
        <v>12.616666666666667</v>
      </c>
      <c r="K89" s="50">
        <f>F89-9.02</f>
        <v>-1.4499999999999993</v>
      </c>
      <c r="L89" s="50">
        <f>F89/9.02*100</f>
        <v>83.92461197339247</v>
      </c>
      <c r="M89" s="35">
        <f t="shared" si="39"/>
        <v>10</v>
      </c>
      <c r="N89" s="35">
        <f t="shared" si="40"/>
        <v>7.57</v>
      </c>
      <c r="O89" s="47">
        <f t="shared" si="36"/>
        <v>-2.4299999999999997</v>
      </c>
      <c r="P89" s="50">
        <f>N89/M89*100</f>
        <v>75.7</v>
      </c>
      <c r="Q89" s="50">
        <f>N89-9.02</f>
        <v>-1.4499999999999993</v>
      </c>
      <c r="R89" s="126">
        <f>N89/9.02</f>
        <v>0.8392461197339247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 t="shared" si="41"/>
        <v>60.700000000000045</v>
      </c>
      <c r="H95" s="35">
        <f>F95/E95*100</f>
        <v>109.63492063492065</v>
      </c>
      <c r="I95" s="50">
        <f t="shared" si="42"/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 t="shared" si="39"/>
        <v>630</v>
      </c>
      <c r="N95" s="35">
        <f t="shared" si="40"/>
        <v>690.7</v>
      </c>
      <c r="O95" s="47">
        <f t="shared" si="43"/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59.21</v>
      </c>
      <c r="G96" s="43">
        <f t="shared" si="41"/>
        <v>-10.79</v>
      </c>
      <c r="H96" s="35">
        <f>F96/E96*100</f>
        <v>84.58571428571429</v>
      </c>
      <c r="I96" s="50">
        <f t="shared" si="42"/>
        <v>-360.79</v>
      </c>
      <c r="J96" s="50">
        <f>F96/D96*100</f>
        <v>14.097619047619048</v>
      </c>
      <c r="K96" s="50">
        <f>F96-79.51</f>
        <v>-20.300000000000004</v>
      </c>
      <c r="L96" s="50">
        <f>F96/79.51*100</f>
        <v>74.46862029933341</v>
      </c>
      <c r="M96" s="35">
        <f t="shared" si="39"/>
        <v>70</v>
      </c>
      <c r="N96" s="35">
        <f t="shared" si="40"/>
        <v>59.21</v>
      </c>
      <c r="O96" s="47">
        <f t="shared" si="43"/>
        <v>-10.79</v>
      </c>
      <c r="P96" s="50">
        <f>N96/M96*100</f>
        <v>84.58571428571429</v>
      </c>
      <c r="Q96" s="50">
        <f>N96-79.51</f>
        <v>-20.300000000000004</v>
      </c>
      <c r="R96" s="126">
        <f>N96/79.51</f>
        <v>0.7446862029933341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263.2</v>
      </c>
      <c r="G99" s="43">
        <f t="shared" si="41"/>
        <v>-116.80000000000001</v>
      </c>
      <c r="H99" s="35">
        <f>F99/E99*100</f>
        <v>69.26315789473684</v>
      </c>
      <c r="I99" s="50">
        <f t="shared" si="42"/>
        <v>-2016.8</v>
      </c>
      <c r="J99" s="50">
        <f>F99/D99*100</f>
        <v>11.543859649122806</v>
      </c>
      <c r="K99" s="50">
        <f>F99-277.38</f>
        <v>-14.180000000000007</v>
      </c>
      <c r="L99" s="50">
        <f>F99/277.38*100</f>
        <v>94.88787944336289</v>
      </c>
      <c r="M99" s="35">
        <f t="shared" si="39"/>
        <v>380</v>
      </c>
      <c r="N99" s="35">
        <f t="shared" si="40"/>
        <v>263.2</v>
      </c>
      <c r="O99" s="47">
        <f t="shared" si="43"/>
        <v>-116.80000000000001</v>
      </c>
      <c r="P99" s="50">
        <f>N99/M99*100</f>
        <v>69.26315789473684</v>
      </c>
      <c r="Q99" s="50">
        <f>N99-277.38</f>
        <v>-14.180000000000007</v>
      </c>
      <c r="R99" s="126">
        <f>N99/277.38</f>
        <v>0.9488787944336289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82.7</v>
      </c>
      <c r="G102" s="135"/>
      <c r="H102" s="137"/>
      <c r="I102" s="136"/>
      <c r="J102" s="136"/>
      <c r="K102" s="136">
        <f>F102-64.93</f>
        <v>17.769999999999996</v>
      </c>
      <c r="L102" s="138">
        <f>F102/64.93*100</f>
        <v>127.36793469890651</v>
      </c>
      <c r="M102" s="35">
        <f t="shared" si="39"/>
        <v>0</v>
      </c>
      <c r="N102" s="35">
        <f t="shared" si="40"/>
        <v>82.7</v>
      </c>
      <c r="O102" s="47"/>
      <c r="P102" s="50"/>
      <c r="Q102" s="50">
        <f>N102-64.93</f>
        <v>17.769999999999996</v>
      </c>
      <c r="R102" s="126">
        <f>N102/64.93</f>
        <v>1.273679346989065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 t="shared" si="44"/>
        <v>-9.2</v>
      </c>
      <c r="J104" s="50">
        <f aca="true" t="shared" si="46" ref="J104:J109">F104/D104*100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 t="shared" si="39"/>
        <v>2</v>
      </c>
      <c r="N104" s="35">
        <f t="shared" si="40"/>
        <v>1.8</v>
      </c>
      <c r="O104" s="47">
        <f t="shared" si="45"/>
        <v>-0.19999999999999996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21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36112.920000000006</v>
      </c>
      <c r="G106" s="44">
        <f>F106-E106</f>
        <v>16341.970000000005</v>
      </c>
      <c r="H106" s="45">
        <f>F106/E106*100</f>
        <v>182.6564732600103</v>
      </c>
      <c r="I106" s="31">
        <f t="shared" si="44"/>
        <v>-160300.78</v>
      </c>
      <c r="J106" s="31">
        <f t="shared" si="46"/>
        <v>18.386151271525357</v>
      </c>
      <c r="K106" s="31">
        <f>F106-34768</f>
        <v>1344.9200000000055</v>
      </c>
      <c r="L106" s="31">
        <f>F106/34768*100</f>
        <v>103.86826967326279</v>
      </c>
      <c r="M106" s="18">
        <f>M8+M74+M104+M105</f>
        <v>19770.95</v>
      </c>
      <c r="N106" s="18">
        <f>N8+N74+N104+N105</f>
        <v>36112.920000000006</v>
      </c>
      <c r="O106" s="49">
        <f t="shared" si="45"/>
        <v>16341.970000000005</v>
      </c>
      <c r="P106" s="31">
        <f>N106/M106*100</f>
        <v>182.6564732600103</v>
      </c>
      <c r="Q106" s="31">
        <f>N106-34768</f>
        <v>1344.9200000000055</v>
      </c>
      <c r="R106" s="127">
        <f>N106/34768</f>
        <v>1.038682696732628</v>
      </c>
      <c r="S106" s="161">
        <f>S123+S127+S10</f>
        <v>2626.7959999999985</v>
      </c>
      <c r="T106" s="160" t="s">
        <v>192</v>
      </c>
      <c r="U106" s="66" t="s">
        <v>198</v>
      </c>
    </row>
    <row r="107" spans="1:20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29070.93</v>
      </c>
      <c r="G107" s="64">
        <f>G10-G18+G96</f>
        <v>17655.98</v>
      </c>
      <c r="H107" s="65">
        <f>F107/E107*100</f>
        <v>254.6741772850516</v>
      </c>
      <c r="I107" s="46">
        <f t="shared" si="44"/>
        <v>-115312.77000000002</v>
      </c>
      <c r="J107" s="46">
        <f t="shared" si="46"/>
        <v>20.134495791422438</v>
      </c>
      <c r="K107" s="46">
        <f>F107-26647.6</f>
        <v>2423.3300000000017</v>
      </c>
      <c r="L107" s="46">
        <f>F107/26647.6*100</f>
        <v>109.0939897026374</v>
      </c>
      <c r="M107" s="64">
        <f>M10-M18+M96</f>
        <v>11414.95</v>
      </c>
      <c r="N107" s="64">
        <f>N10-N18+N96</f>
        <v>29070.93</v>
      </c>
      <c r="O107" s="47">
        <f t="shared" si="45"/>
        <v>17655.98</v>
      </c>
      <c r="P107" s="46">
        <f>N107/M107*100</f>
        <v>254.6741772850516</v>
      </c>
      <c r="Q107" s="46">
        <f>N107-26647.62</f>
        <v>2423.3100000000013</v>
      </c>
      <c r="R107" s="128">
        <f>N107/26647.62</f>
        <v>1.0909390782366306</v>
      </c>
      <c r="S107" s="163">
        <v>1855.3</v>
      </c>
      <c r="T107" s="164" t="s">
        <v>195</v>
      </c>
    </row>
    <row r="108" spans="1:20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7041.990000000005</v>
      </c>
      <c r="G108" s="55">
        <f>F108-E108</f>
        <v>-1314.0099999999948</v>
      </c>
      <c r="H108" s="65">
        <f>F108/E108*100</f>
        <v>84.27465294399241</v>
      </c>
      <c r="I108" s="46">
        <f t="shared" si="44"/>
        <v>-44988.009999999995</v>
      </c>
      <c r="J108" s="46">
        <f t="shared" si="46"/>
        <v>13.534480107630223</v>
      </c>
      <c r="K108" s="46">
        <f>F108-8120.4</f>
        <v>-1078.4099999999944</v>
      </c>
      <c r="L108" s="46">
        <f>F108/8120.4*100</f>
        <v>86.71974286980944</v>
      </c>
      <c r="M108" s="64">
        <f>M106-M107</f>
        <v>8356</v>
      </c>
      <c r="N108" s="64">
        <f>N106-N107</f>
        <v>7041.990000000005</v>
      </c>
      <c r="O108" s="47">
        <f t="shared" si="45"/>
        <v>-1314.0099999999948</v>
      </c>
      <c r="P108" s="46">
        <f>N108/M108*100</f>
        <v>84.27465294399241</v>
      </c>
      <c r="Q108" s="46">
        <f>N108-8120.38</f>
        <v>-1078.3899999999949</v>
      </c>
      <c r="R108" s="162">
        <f>N108/8120.38</f>
        <v>0.8671995645523984</v>
      </c>
      <c r="S108" s="165"/>
      <c r="T108" s="166"/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'[2]січень'!$C$27/1000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 t="shared" si="47"/>
        <v>-697.039</v>
      </c>
      <c r="H114" s="35">
        <f aca="true" t="shared" si="50" ref="H114:H125">F114/E114*100</f>
        <v>2.3562075984192954</v>
      </c>
      <c r="I114" s="53">
        <f t="shared" si="48"/>
        <v>-4266.337</v>
      </c>
      <c r="J114" s="53">
        <f aca="true" t="shared" si="51" ref="J114:J120">F114/D114*100</f>
        <v>0.39270099134820413</v>
      </c>
      <c r="K114" s="53">
        <f>F114-68.14</f>
        <v>-51.32</v>
      </c>
      <c r="L114" s="53">
        <f>F114/68.14*100</f>
        <v>24.68447314352803</v>
      </c>
      <c r="M114" s="35">
        <f t="shared" si="49"/>
        <v>713.859</v>
      </c>
      <c r="N114" s="35">
        <f t="shared" si="49"/>
        <v>16.82</v>
      </c>
      <c r="O114" s="47">
        <f aca="true" t="shared" si="52" ref="O114:O125">N114-M114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 t="shared" si="47"/>
        <v>-717.599</v>
      </c>
      <c r="H116" s="65">
        <f t="shared" si="50"/>
        <v>2.87740962754734</v>
      </c>
      <c r="I116" s="54">
        <f t="shared" si="48"/>
        <v>-4411.897</v>
      </c>
      <c r="J116" s="54">
        <f t="shared" si="51"/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 t="shared" si="52"/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9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84.67</v>
      </c>
      <c r="G118" s="43">
        <f t="shared" si="47"/>
        <v>84.67</v>
      </c>
      <c r="H118" s="35" t="e">
        <f t="shared" si="50"/>
        <v>#DIV/0!</v>
      </c>
      <c r="I118" s="53">
        <f t="shared" si="48"/>
        <v>84.67</v>
      </c>
      <c r="J118" s="53" t="e">
        <f t="shared" si="51"/>
        <v>#DIV/0!</v>
      </c>
      <c r="K118" s="53">
        <f>F118-54.32</f>
        <v>30.35</v>
      </c>
      <c r="L118" s="53">
        <f>F118/54.32*100</f>
        <v>155.87260677466864</v>
      </c>
      <c r="M118" s="35">
        <f>E118</f>
        <v>0</v>
      </c>
      <c r="N118" s="35">
        <f t="shared" si="53"/>
        <v>84.67</v>
      </c>
      <c r="O118" s="47" t="s">
        <v>166</v>
      </c>
      <c r="P118" s="53"/>
      <c r="Q118" s="53">
        <f>N118-54.32</f>
        <v>30.35</v>
      </c>
      <c r="R118" s="129"/>
      <c r="S118" s="34">
        <f>F118</f>
        <v>84.67</v>
      </c>
    </row>
    <row r="119" spans="2:19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8334.48</v>
      </c>
      <c r="G119" s="43">
        <f t="shared" si="47"/>
        <v>8334.48</v>
      </c>
      <c r="H119" s="35" t="e">
        <f t="shared" si="50"/>
        <v>#DIV/0!</v>
      </c>
      <c r="I119" s="47">
        <f t="shared" si="48"/>
        <v>8334.48</v>
      </c>
      <c r="J119" s="53" t="e">
        <f t="shared" si="51"/>
        <v>#DIV/0!</v>
      </c>
      <c r="K119" s="53">
        <f>F119-7479.86</f>
        <v>854.6199999999999</v>
      </c>
      <c r="L119" s="53">
        <f>F119/7479.86*100</f>
        <v>111.42561491792627</v>
      </c>
      <c r="M119" s="35">
        <f>E119</f>
        <v>0</v>
      </c>
      <c r="N119" s="35">
        <f t="shared" si="53"/>
        <v>8334.48</v>
      </c>
      <c r="O119" s="47">
        <f t="shared" si="52"/>
        <v>8334.48</v>
      </c>
      <c r="P119" s="53" t="e">
        <f aca="true" t="shared" si="54" ref="P119:P124">N119/M119*100</f>
        <v>#DIV/0!</v>
      </c>
      <c r="Q119" s="53">
        <f>N119-7479.86</f>
        <v>854.6199999999999</v>
      </c>
      <c r="R119" s="129">
        <f>N119/7479.86</f>
        <v>1.1142561491792626</v>
      </c>
      <c r="S119" s="34">
        <f>F119</f>
        <v>8334.48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 t="shared" si="47"/>
        <v>0.03</v>
      </c>
      <c r="H120" s="35" t="e">
        <f t="shared" si="50"/>
        <v>#DIV/0!</v>
      </c>
      <c r="I120" s="53">
        <f t="shared" si="48"/>
        <v>0.03</v>
      </c>
      <c r="J120" s="53" t="e">
        <f t="shared" si="51"/>
        <v>#DIV/0!</v>
      </c>
      <c r="K120" s="53">
        <f>F120-0.04</f>
        <v>-0.010000000000000002</v>
      </c>
      <c r="L120" s="53">
        <f>F120/0.04*100</f>
        <v>75</v>
      </c>
      <c r="M120" s="35">
        <f>E120</f>
        <v>0</v>
      </c>
      <c r="N120" s="35">
        <f t="shared" si="53"/>
        <v>0.03</v>
      </c>
      <c r="O120" s="47">
        <f t="shared" si="52"/>
        <v>0.03</v>
      </c>
      <c r="P120" s="53" t="e">
        <f t="shared" si="54"/>
        <v>#DIV/0!</v>
      </c>
      <c r="Q120" s="53">
        <f>N120-0.04</f>
        <v>-0.010000000000000002</v>
      </c>
      <c r="R120" s="129">
        <f>N120/0.04</f>
        <v>0.75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 t="shared" si="47"/>
        <v>259.69</v>
      </c>
      <c r="H121" s="35" t="e">
        <f t="shared" si="50"/>
        <v>#DIV/0!</v>
      </c>
      <c r="I121" s="53">
        <f t="shared" si="48"/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E121</f>
        <v>0</v>
      </c>
      <c r="N121" s="35">
        <f t="shared" si="53"/>
        <v>259.69</v>
      </c>
      <c r="O121" s="47">
        <f t="shared" si="52"/>
        <v>259.69</v>
      </c>
      <c r="P121" s="53" t="e">
        <f t="shared" si="54"/>
        <v>#DIV/0!</v>
      </c>
      <c r="Q121" s="53">
        <f>N121-450.01</f>
        <v>-190.32</v>
      </c>
      <c r="R121" s="129">
        <f>N121/450.01</f>
        <v>0.5770760649763339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 t="shared" si="47"/>
        <v>-16.04</v>
      </c>
      <c r="H122" s="35" t="e">
        <f t="shared" si="50"/>
        <v>#DIV/0!</v>
      </c>
      <c r="I122" s="53">
        <f t="shared" si="48"/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 t="shared" si="53"/>
        <v>-16.04</v>
      </c>
      <c r="O122" s="47">
        <f t="shared" si="52"/>
        <v>-16.04</v>
      </c>
      <c r="P122" s="53" t="e">
        <f t="shared" si="54"/>
        <v>#DIV/0!</v>
      </c>
      <c r="Q122" s="53">
        <f>N122-1.05</f>
        <v>-17.09</v>
      </c>
      <c r="R122" s="129">
        <f>N122/1.05</f>
        <v>-15.276190476190475</v>
      </c>
    </row>
    <row r="123" spans="2:20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8662.83</v>
      </c>
      <c r="G123" s="55">
        <f t="shared" si="47"/>
        <v>8662.83</v>
      </c>
      <c r="H123" s="65" t="e">
        <f t="shared" si="50"/>
        <v>#DIV/0!</v>
      </c>
      <c r="I123" s="54">
        <f t="shared" si="48"/>
        <v>8662.83</v>
      </c>
      <c r="J123" s="54" t="e">
        <f>F123/D123*100</f>
        <v>#DIV/0!</v>
      </c>
      <c r="K123" s="54">
        <f>F123-7985.28</f>
        <v>677.5500000000002</v>
      </c>
      <c r="L123" s="54">
        <f>F123/7985.28*100</f>
        <v>108.48498737677326</v>
      </c>
      <c r="M123" s="55">
        <f>M119+M120+M121+M122+M118</f>
        <v>0</v>
      </c>
      <c r="N123" s="55">
        <f>N119+N120+N121+N122+N118</f>
        <v>8662.83</v>
      </c>
      <c r="O123" s="54">
        <f t="shared" si="52"/>
        <v>8662.83</v>
      </c>
      <c r="P123" s="54" t="e">
        <f t="shared" si="54"/>
        <v>#DIV/0!</v>
      </c>
      <c r="Q123" s="54">
        <f>N123-7985.28</f>
        <v>677.5500000000002</v>
      </c>
      <c r="R123" s="130">
        <f>N123/7985.28</f>
        <v>1.0848498737677326</v>
      </c>
      <c r="S123" s="159">
        <f>S118+S119</f>
        <v>8419.15</v>
      </c>
      <c r="T123" s="4" t="s">
        <v>197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20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9.99</v>
      </c>
      <c r="G127" s="43">
        <f aca="true" t="shared" si="56" ref="G127:G134">F127-E127</f>
        <v>-1421.4279999999999</v>
      </c>
      <c r="H127" s="35">
        <f>F127/E127*100</f>
        <v>0.6979093458374843</v>
      </c>
      <c r="I127" s="53">
        <f aca="true" t="shared" si="57" ref="I127:I134">F127-D127</f>
        <v>-8578.519</v>
      </c>
      <c r="J127" s="53">
        <f>F127/D127*100</f>
        <v>0.11631821076277618</v>
      </c>
      <c r="K127" s="53">
        <f>F127-17.67</f>
        <v>-7.6800000000000015</v>
      </c>
      <c r="L127" s="53">
        <f>F127/84.2*100</f>
        <v>11.864608076009501</v>
      </c>
      <c r="M127" s="35">
        <f t="shared" si="55"/>
        <v>1431.418</v>
      </c>
      <c r="N127" s="35">
        <f t="shared" si="55"/>
        <v>9.99</v>
      </c>
      <c r="O127" s="47">
        <f aca="true" t="shared" si="58" ref="O127:O134">N127-M127</f>
        <v>-1421.4279999999999</v>
      </c>
      <c r="P127" s="53">
        <f>N127/M127*100</f>
        <v>0.6979093458374843</v>
      </c>
      <c r="Q127" s="53">
        <f>N127-17.67</f>
        <v>-7.6800000000000015</v>
      </c>
      <c r="R127" s="129">
        <f>N127/17.67</f>
        <v>0.565365025466893</v>
      </c>
      <c r="S127" s="159">
        <f>F127</f>
        <v>9.99</v>
      </c>
      <c r="T127" s="4" t="s">
        <v>197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0.17</v>
      </c>
      <c r="G128" s="43">
        <f t="shared" si="56"/>
        <v>0.17</v>
      </c>
      <c r="H128" s="35"/>
      <c r="I128" s="53">
        <f t="shared" si="57"/>
        <v>0.17</v>
      </c>
      <c r="J128" s="53"/>
      <c r="K128" s="53">
        <f>F128-(-0.21)</f>
        <v>0.38</v>
      </c>
      <c r="L128" s="53"/>
      <c r="M128" s="35">
        <f t="shared" si="55"/>
        <v>0</v>
      </c>
      <c r="N128" s="35">
        <f t="shared" si="55"/>
        <v>0.17</v>
      </c>
      <c r="O128" s="47">
        <f t="shared" si="58"/>
        <v>0.17</v>
      </c>
      <c r="P128" s="53"/>
      <c r="Q128" s="53">
        <f>N128-(-0.21)</f>
        <v>0.38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10.16</v>
      </c>
      <c r="G129" s="55">
        <f t="shared" si="56"/>
        <v>-1421.2579999999998</v>
      </c>
      <c r="H129" s="65">
        <f>F129/E129*100</f>
        <v>0.709785681051936</v>
      </c>
      <c r="I129" s="54">
        <f t="shared" si="57"/>
        <v>-8578.349</v>
      </c>
      <c r="J129" s="54">
        <f>F129/D129*100</f>
        <v>0.11829759973471529</v>
      </c>
      <c r="K129" s="54">
        <f>F129-26.38</f>
        <v>-16.22</v>
      </c>
      <c r="L129" s="54">
        <f>F129/26.38*100</f>
        <v>38.51402577710387</v>
      </c>
      <c r="M129" s="55">
        <f>M124+M127+M128+M126</f>
        <v>1431.418</v>
      </c>
      <c r="N129" s="55">
        <f>N124+N127+N128+N126</f>
        <v>10.16</v>
      </c>
      <c r="O129" s="54">
        <f t="shared" si="58"/>
        <v>-1421.2579999999998</v>
      </c>
      <c r="P129" s="54">
        <f>N129/M129*100</f>
        <v>0.709785681051936</v>
      </c>
      <c r="Q129" s="54">
        <f>N129-26.38</f>
        <v>-16.22</v>
      </c>
      <c r="R129" s="128">
        <f>N129/26.38</f>
        <v>0.38514025777103866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 aca="true" t="shared" si="59" ref="M130:N132">E130</f>
        <v>0</v>
      </c>
      <c r="N130" s="35">
        <f t="shared" si="59"/>
        <v>0.59</v>
      </c>
      <c r="O130" s="47">
        <f>N130-M130</f>
        <v>0.59</v>
      </c>
      <c r="P130" s="53" t="e">
        <f>N130/M130*100</f>
        <v>#DIV/0!</v>
      </c>
      <c r="Q130" s="53">
        <f>N130-0.45</f>
        <v>0.13999999999999996</v>
      </c>
      <c r="R130" s="129">
        <f>N130/0.45</f>
        <v>1.3111111111111111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8694.84</v>
      </c>
      <c r="G133" s="44">
        <f t="shared" si="56"/>
        <v>6524.563</v>
      </c>
      <c r="H133" s="45">
        <f>F133/E133*100</f>
        <v>400.63273029203185</v>
      </c>
      <c r="I133" s="31">
        <f t="shared" si="57"/>
        <v>-4326.826000000001</v>
      </c>
      <c r="J133" s="31">
        <f>F133/D133*100</f>
        <v>66.77210120425451</v>
      </c>
      <c r="K133" s="31">
        <f>F133-8104.96</f>
        <v>589.8800000000001</v>
      </c>
      <c r="L133" s="31">
        <f>F133/8104.96*100</f>
        <v>107.2780124763108</v>
      </c>
      <c r="M133" s="27">
        <f>M116+M130+M123+M129+M132+M131</f>
        <v>2170.277</v>
      </c>
      <c r="N133" s="27">
        <f>N116+N130+N123+N129+N132+N131</f>
        <v>8694.84</v>
      </c>
      <c r="O133" s="31">
        <f t="shared" si="58"/>
        <v>6524.563</v>
      </c>
      <c r="P133" s="31">
        <f>N133/M133*100</f>
        <v>400.63273029203185</v>
      </c>
      <c r="Q133" s="31">
        <f>N133-8104.96</f>
        <v>589.8800000000001</v>
      </c>
      <c r="R133" s="127">
        <f>N133/8104.96</f>
        <v>1.0727801247631081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44807.76000000001</v>
      </c>
      <c r="G134" s="44">
        <f t="shared" si="56"/>
        <v>22866.53300000001</v>
      </c>
      <c r="H134" s="45">
        <f>F134/E134*100</f>
        <v>204.21720262043692</v>
      </c>
      <c r="I134" s="31">
        <f t="shared" si="57"/>
        <v>-164627.606</v>
      </c>
      <c r="J134" s="31">
        <f>F134/D134*100</f>
        <v>21.394552818744092</v>
      </c>
      <c r="K134" s="31">
        <f>F134-42872.96</f>
        <v>1934.8000000000102</v>
      </c>
      <c r="L134" s="31">
        <f>F134/42872.96*100</f>
        <v>104.51286778426312</v>
      </c>
      <c r="M134" s="18">
        <f>M106+M133</f>
        <v>21941.227</v>
      </c>
      <c r="N134" s="18">
        <f>N106+N133</f>
        <v>44807.76000000001</v>
      </c>
      <c r="O134" s="31">
        <f t="shared" si="58"/>
        <v>22866.53300000001</v>
      </c>
      <c r="P134" s="31">
        <f>N134/M134*100</f>
        <v>204.21720262043692</v>
      </c>
      <c r="Q134" s="31">
        <f>N134-42872.96</f>
        <v>1934.8000000000102</v>
      </c>
      <c r="R134" s="127">
        <f>N134/42872.96</f>
        <v>1.0451286778426312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0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231"/>
      <c r="H137" s="231"/>
      <c r="I137" s="231"/>
      <c r="J137" s="231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42034</v>
      </c>
      <c r="D138" s="34">
        <v>5538.3</v>
      </c>
      <c r="N138" s="232"/>
      <c r="O138" s="232"/>
    </row>
    <row r="139" spans="3:15" ht="15.75">
      <c r="C139" s="111">
        <v>42033</v>
      </c>
      <c r="D139" s="34">
        <v>2896.5</v>
      </c>
      <c r="F139" s="155" t="s">
        <v>166</v>
      </c>
      <c r="G139" s="238" t="s">
        <v>151</v>
      </c>
      <c r="H139" s="238"/>
      <c r="I139" s="106">
        <f>8909.733</f>
        <v>8909.733</v>
      </c>
      <c r="J139" s="254" t="s">
        <v>161</v>
      </c>
      <c r="K139" s="254"/>
      <c r="L139" s="254"/>
      <c r="M139" s="254"/>
      <c r="N139" s="232"/>
      <c r="O139" s="232"/>
    </row>
    <row r="140" spans="3:15" ht="15.75">
      <c r="C140" s="111">
        <v>42032</v>
      </c>
      <c r="D140" s="34">
        <v>2838.1</v>
      </c>
      <c r="G140" s="249" t="s">
        <v>155</v>
      </c>
      <c r="H140" s="249"/>
      <c r="I140" s="103">
        <v>0</v>
      </c>
      <c r="J140" s="257" t="s">
        <v>162</v>
      </c>
      <c r="K140" s="257"/>
      <c r="L140" s="257"/>
      <c r="M140" s="257"/>
      <c r="N140" s="232"/>
      <c r="O140" s="232"/>
    </row>
    <row r="141" spans="7:13" ht="15.75" customHeight="1">
      <c r="G141" s="238" t="s">
        <v>148</v>
      </c>
      <c r="H141" s="238"/>
      <c r="I141" s="103">
        <v>0</v>
      </c>
      <c r="J141" s="254" t="s">
        <v>163</v>
      </c>
      <c r="K141" s="254"/>
      <c r="L141" s="254"/>
      <c r="M141" s="254"/>
    </row>
    <row r="142" spans="2:13" ht="18.75" customHeight="1">
      <c r="B142" s="242" t="s">
        <v>160</v>
      </c>
      <c r="C142" s="243"/>
      <c r="D142" s="108">
        <f>132375.63</f>
        <v>132375.63</v>
      </c>
      <c r="E142" s="73"/>
      <c r="F142" s="156" t="s">
        <v>147</v>
      </c>
      <c r="G142" s="238" t="s">
        <v>149</v>
      </c>
      <c r="H142" s="238"/>
      <c r="I142" s="107">
        <f>123465.893</f>
        <v>123465.893</v>
      </c>
      <c r="J142" s="254" t="s">
        <v>164</v>
      </c>
      <c r="K142" s="254"/>
      <c r="L142" s="254"/>
      <c r="M142" s="254"/>
    </row>
    <row r="143" spans="7:12" ht="9.75" customHeight="1">
      <c r="G143" s="233"/>
      <c r="H143" s="233"/>
      <c r="I143" s="90"/>
      <c r="J143" s="91"/>
      <c r="K143" s="91"/>
      <c r="L143" s="91"/>
    </row>
    <row r="144" spans="2:12" ht="22.5" customHeight="1" hidden="1">
      <c r="B144" s="244" t="s">
        <v>167</v>
      </c>
      <c r="C144" s="245"/>
      <c r="D144" s="110">
        <v>0</v>
      </c>
      <c r="E144" s="70" t="s">
        <v>104</v>
      </c>
      <c r="G144" s="233"/>
      <c r="H144" s="233"/>
      <c r="I144" s="90"/>
      <c r="J144" s="91"/>
      <c r="K144" s="91"/>
      <c r="L144" s="91"/>
    </row>
    <row r="145" spans="4:15" ht="15.75">
      <c r="D145" s="105"/>
      <c r="N145" s="233"/>
      <c r="O145" s="233"/>
    </row>
    <row r="146" spans="4:15" ht="15.75">
      <c r="D146" s="104"/>
      <c r="I146" s="34"/>
      <c r="N146" s="246"/>
      <c r="O146" s="246"/>
    </row>
    <row r="147" spans="14:15" ht="15.75">
      <c r="N147" s="233"/>
      <c r="O147" s="233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1" right="0.2" top="0.27" bottom="0.36" header="0.18" footer="0.29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2015-05-12T08:58:46Z</cp:lastPrinted>
  <dcterms:created xsi:type="dcterms:W3CDTF">2003-07-28T11:27:56Z</dcterms:created>
  <dcterms:modified xsi:type="dcterms:W3CDTF">2015-05-12T09:08:58Z</dcterms:modified>
  <cp:category/>
  <cp:version/>
  <cp:contentType/>
  <cp:contentStatus/>
</cp:coreProperties>
</file>